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drawings/drawing2.xml" ContentType="application/vnd.openxmlformats-officedocument.drawing+xml"/>
  <Override PartName="/xl/ctrlProps/ctrlProp3.xml" ContentType="application/vnd.ms-excel.controlpropertie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1425"/>
  <workbookPr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D:\Работа\Autofreedom\"/>
    </mc:Choice>
  </mc:AlternateContent>
  <xr:revisionPtr revIDLastSave="0" documentId="13_ncr:1_{71A7E1E4-9D43-4D23-B7BB-BD22D0E9AB36}" xr6:coauthVersionLast="43" xr6:coauthVersionMax="43" xr10:uidLastSave="{00000000-0000-0000-0000-000000000000}"/>
  <bookViews>
    <workbookView xWindow="-96" yWindow="-96" windowWidth="23232" windowHeight="12552" activeTab="1" xr2:uid="{00000000-000D-0000-FFFF-FFFF00000000}"/>
  </bookViews>
  <sheets>
    <sheet name="Исходные данные" sheetId="6" r:id="rId1"/>
    <sheet name="Обобщенный расчет" sheetId="7" r:id="rId2"/>
    <sheet name="Детальный расчет" sheetId="4" r:id="rId3"/>
  </sheets>
  <externalReferences>
    <externalReference r:id="rId4"/>
    <externalReference r:id="rId5"/>
    <externalReference r:id="rId6"/>
  </externalReferences>
  <definedNames>
    <definedName name="About_AI" localSheetId="0">#REF!</definedName>
    <definedName name="About_AI" localSheetId="1">#REF!</definedName>
    <definedName name="About_AI">#REF!</definedName>
    <definedName name="About_AI_Summ" localSheetId="0">#REF!</definedName>
    <definedName name="About_AI_Summ" localSheetId="1">#REF!</definedName>
    <definedName name="About_AI_Summ">#REF!</definedName>
    <definedName name="AI_Version">[1]Опции!$B$5</definedName>
    <definedName name="CalcMethod">[1]Проект!$F$88</definedName>
    <definedName name="CUR_Foreign">[1]Проект!$B$12</definedName>
    <definedName name="CUR_I_Foreign">[1]Проект!$D$12</definedName>
    <definedName name="CUR_I_Main">[1]Проект!$D$11</definedName>
    <definedName name="CUR_I_Report">[1]Проект!$D$19</definedName>
    <definedName name="CUR_Main">[1]Проект!$B$11</definedName>
    <definedName name="CUR_Report">[1]Проект!$B$19</definedName>
    <definedName name="EST_DATA" localSheetId="0">[1]Проект!#REF!</definedName>
    <definedName name="EST_DATA" localSheetId="1">[1]Проект!#REF!</definedName>
    <definedName name="EST_DATA">[1]Проект!#REF!</definedName>
    <definedName name="EST_FROM" localSheetId="0">[1]Проект!#REF!</definedName>
    <definedName name="EST_FROM" localSheetId="1">[1]Проект!#REF!</definedName>
    <definedName name="EST_FROM">[1]Проект!#REF!</definedName>
    <definedName name="EST_NumStages" localSheetId="0">[1]Проект!#REF!</definedName>
    <definedName name="EST_NumStages" localSheetId="1">[1]Проект!#REF!</definedName>
    <definedName name="EST_NumStages">[1]Проект!#REF!</definedName>
    <definedName name="EST_Obj_1" localSheetId="0">[1]Проект!#REF!</definedName>
    <definedName name="EST_Obj_1" localSheetId="1">[1]Проект!#REF!</definedName>
    <definedName name="EST_Obj_1">[1]Проект!#REF!</definedName>
    <definedName name="EST_Obj_10" localSheetId="0">[1]Проект!#REF!</definedName>
    <definedName name="EST_Obj_10" localSheetId="1">[1]Проект!#REF!</definedName>
    <definedName name="EST_Obj_10">[1]Проект!#REF!</definedName>
    <definedName name="EST_Obj_2" localSheetId="0">[1]Проект!#REF!</definedName>
    <definedName name="EST_Obj_2" localSheetId="1">[1]Проект!#REF!</definedName>
    <definedName name="EST_Obj_2">[1]Проект!#REF!</definedName>
    <definedName name="EST_Obj_3" localSheetId="0">[1]Проект!#REF!</definedName>
    <definedName name="EST_Obj_3" localSheetId="1">[1]Проект!#REF!</definedName>
    <definedName name="EST_Obj_3">[1]Проект!#REF!</definedName>
    <definedName name="EST_Obj_4" localSheetId="0">[1]Проект!#REF!</definedName>
    <definedName name="EST_Obj_4" localSheetId="1">[1]Проект!#REF!</definedName>
    <definedName name="EST_Obj_4">[1]Проект!#REF!</definedName>
    <definedName name="EST_Obj_5" localSheetId="0">[1]Проект!#REF!</definedName>
    <definedName name="EST_Obj_5" localSheetId="1">[1]Проект!#REF!</definedName>
    <definedName name="EST_Obj_5">[1]Проект!#REF!</definedName>
    <definedName name="EST_Obj_6" localSheetId="0">[1]Проект!#REF!</definedName>
    <definedName name="EST_Obj_6" localSheetId="1">[1]Проект!#REF!</definedName>
    <definedName name="EST_Obj_6">[1]Проект!#REF!</definedName>
    <definedName name="EST_Obj_7" localSheetId="0">[1]Проект!#REF!</definedName>
    <definedName name="EST_Obj_7" localSheetId="1">[1]Проект!#REF!</definedName>
    <definedName name="EST_Obj_7">[1]Проект!#REF!</definedName>
    <definedName name="EST_Obj_8" localSheetId="0">[1]Проект!#REF!</definedName>
    <definedName name="EST_Obj_8" localSheetId="1">[1]Проект!#REF!</definedName>
    <definedName name="EST_Obj_8">[1]Проект!#REF!</definedName>
    <definedName name="EST_Obj_9" localSheetId="0">[1]Проект!#REF!</definedName>
    <definedName name="EST_Obj_9" localSheetId="1">[1]Проект!#REF!</definedName>
    <definedName name="EST_Obj_9">[1]Проект!#REF!</definedName>
    <definedName name="EST_ProdNum" localSheetId="0">[1]Проект!#REF!</definedName>
    <definedName name="EST_ProdNum" localSheetId="1">[1]Проект!#REF!</definedName>
    <definedName name="EST_ProdNum">[1]Проект!#REF!</definedName>
    <definedName name="IS_SUMM">[1]Опции!$B$10</definedName>
    <definedName name="LANGUAGE">[1]Проект!$D$17</definedName>
    <definedName name="NWC_T_Cr_AdvK">[1]Проект!$B$772</definedName>
    <definedName name="NWC_T_Cr_AdvT">[1]Проект!$C$772</definedName>
    <definedName name="NWC_T_Cr_CrdK">[1]Проект!$B$773</definedName>
    <definedName name="NWC_T_Cr_CrdT">[1]Проект!$C$773</definedName>
    <definedName name="NWC_T_Cycle">[1]Проект!$B$751</definedName>
    <definedName name="NWC_T_Db_AdvK">[1]Проект!$B$760</definedName>
    <definedName name="NWC_T_Db_AdvT">[1]Проект!$C$760</definedName>
    <definedName name="NWC_T_Db_CrdK">[1]Проект!$B$761</definedName>
    <definedName name="NWC_T_Db_CrdT">[1]Проект!$C$761</definedName>
    <definedName name="NWC_T_Goods">[1]Проект!$B$755</definedName>
    <definedName name="NWC_T_Mat">[1]Проект!$B$749</definedName>
    <definedName name="PeriodTitle">[1]Проект!$F$86:$L$86</definedName>
    <definedName name="PRJ_Len">[1]Проект!$D$8</definedName>
    <definedName name="PRJ_Protected">[1]Проект!$D$18</definedName>
    <definedName name="PRJ_StartDate">[1]Проект!$D$7</definedName>
    <definedName name="PRJ_StartMon">[1]Проект!$F$26</definedName>
    <definedName name="PRJ_StartYear">[1]Проект!$F$25</definedName>
    <definedName name="PRJ_Step">[1]Проект!$D$10</definedName>
    <definedName name="PRJ_Step_SName">[1]Проект!$E$9</definedName>
    <definedName name="PRJ_StepType">[1]Проект!$D$9</definedName>
    <definedName name="ProfitTax">[1]Проект!$B$945</definedName>
    <definedName name="ProfitTax_Period">[1]Проект!$B$946</definedName>
    <definedName name="season" localSheetId="0">'[2]1. Исходные данные'!#REF!</definedName>
    <definedName name="season" localSheetId="1">'[2]1. Исходные данные'!#REF!</definedName>
    <definedName name="season">'[2]1. Исходные данные'!#REF!</definedName>
    <definedName name="SENS_Parameter">[1]Анализ!$E$9</definedName>
    <definedName name="ShowRealDates">[1]Проект!$D$20</definedName>
    <definedName name="VAT">[1]Проект!$B$889</definedName>
    <definedName name="VAT_OnAssets">[1]Проект!$B$892</definedName>
    <definedName name="VAT_Period">[1]Проект!$B$890</definedName>
    <definedName name="VAT_Repay">[1]Проект!$B$891</definedName>
    <definedName name="апи" localSheetId="0">[3]Отчет!#REF!</definedName>
    <definedName name="апи" localSheetId="1">[3]Отчет!#REF!</definedName>
    <definedName name="апи">[3]Отчет!#REF!</definedName>
    <definedName name="_xlnm.Print_Titles" localSheetId="2">'Детальный расчет'!$A:$B,'Детальный расчет'!$4:$4</definedName>
    <definedName name="и" localSheetId="0">[3]Отчет!#REF!</definedName>
    <definedName name="и" localSheetId="1">[3]Отчет!#REF!</definedName>
    <definedName name="и">[3]Отчет!#REF!</definedName>
    <definedName name="_xlnm.Print_Area" localSheetId="2">'Детальный расчет'!$A$4:$AS$77</definedName>
    <definedName name="_xlnm.Print_Area" localSheetId="0">'Исходные данные'!$A$2:$J$78</definedName>
    <definedName name="_xlnm.Print_Area" localSheetId="1">'Обобщенный расчет'!$A$1:$H$50</definedName>
    <definedName name="п" localSheetId="0">[3]Отчет!#REF!</definedName>
    <definedName name="п" localSheetId="1">[3]Отчет!#REF!</definedName>
    <definedName name="п">[3]Отчет!#REF!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D52" i="6" l="1"/>
  <c r="H52" i="6" s="1"/>
  <c r="E10" i="6"/>
  <c r="C14" i="4" s="1"/>
  <c r="H63" i="6"/>
  <c r="H64" i="6"/>
  <c r="AO32" i="4" s="1"/>
  <c r="L32" i="4" l="1"/>
  <c r="H32" i="4"/>
  <c r="D32" i="4"/>
  <c r="T32" i="4"/>
  <c r="X32" i="4"/>
  <c r="AB32" i="4"/>
  <c r="AH32" i="4"/>
  <c r="AL32" i="4"/>
  <c r="AP32" i="4"/>
  <c r="C32" i="4"/>
  <c r="K32" i="4"/>
  <c r="G32" i="4"/>
  <c r="Q32" i="4"/>
  <c r="U32" i="4"/>
  <c r="Y32" i="4"/>
  <c r="AE32" i="4"/>
  <c r="AI32" i="4"/>
  <c r="AM32" i="4"/>
  <c r="N32" i="4"/>
  <c r="F32" i="4"/>
  <c r="R32" i="4"/>
  <c r="V32" i="4"/>
  <c r="Z32" i="4"/>
  <c r="AF32" i="4"/>
  <c r="AJ32" i="4"/>
  <c r="AN32" i="4"/>
  <c r="J32" i="4"/>
  <c r="M32" i="4"/>
  <c r="I32" i="4"/>
  <c r="E32" i="4"/>
  <c r="S32" i="4"/>
  <c r="W32" i="4"/>
  <c r="AA32" i="4"/>
  <c r="AG32" i="4"/>
  <c r="AK32" i="4"/>
  <c r="I22" i="6"/>
  <c r="E9" i="6"/>
  <c r="G59" i="6" l="1"/>
  <c r="B32" i="4"/>
  <c r="A32" i="4"/>
  <c r="H26" i="7"/>
  <c r="A14" i="4" l="1"/>
  <c r="B14" i="4"/>
  <c r="E5" i="7"/>
  <c r="G5" i="7"/>
  <c r="C5" i="7"/>
  <c r="B38" i="4" l="1"/>
  <c r="B32" i="7"/>
  <c r="A38" i="4" s="1"/>
  <c r="B31" i="7"/>
  <c r="H32" i="7"/>
  <c r="H33" i="7"/>
  <c r="H70" i="6"/>
  <c r="B14" i="7"/>
  <c r="B12" i="7"/>
  <c r="B13" i="7"/>
  <c r="B11" i="7"/>
  <c r="A5" i="7"/>
  <c r="H73" i="6"/>
  <c r="H51" i="6"/>
  <c r="D14" i="7" s="1"/>
  <c r="H50" i="6"/>
  <c r="D13" i="7" s="1"/>
  <c r="H48" i="6"/>
  <c r="D11" i="7" s="1"/>
  <c r="AP40" i="4" l="1"/>
  <c r="AL40" i="4"/>
  <c r="AH40" i="4"/>
  <c r="AO40" i="4"/>
  <c r="AK40" i="4"/>
  <c r="AG40" i="4"/>
  <c r="AB40" i="4"/>
  <c r="X40" i="4"/>
  <c r="T40" i="4"/>
  <c r="G40" i="4"/>
  <c r="K40" i="4"/>
  <c r="AJ40" i="4"/>
  <c r="Z40" i="4"/>
  <c r="U40" i="4"/>
  <c r="E40" i="4"/>
  <c r="J40" i="4"/>
  <c r="AI40" i="4"/>
  <c r="Y40" i="4"/>
  <c r="S40" i="4"/>
  <c r="F40" i="4"/>
  <c r="L40" i="4"/>
  <c r="AN40" i="4"/>
  <c r="AF40" i="4"/>
  <c r="AM40" i="4"/>
  <c r="AA40" i="4"/>
  <c r="Q40" i="4"/>
  <c r="I40" i="4"/>
  <c r="V40" i="4"/>
  <c r="D40" i="4"/>
  <c r="R40" i="4"/>
  <c r="C40" i="4"/>
  <c r="AE40" i="4"/>
  <c r="W40" i="4"/>
  <c r="M40" i="4"/>
  <c r="N40" i="4"/>
  <c r="H40" i="4"/>
  <c r="AP38" i="4"/>
  <c r="AL38" i="4"/>
  <c r="AH38" i="4"/>
  <c r="AO38" i="4"/>
  <c r="AK38" i="4"/>
  <c r="AG38" i="4"/>
  <c r="AB38" i="4"/>
  <c r="X38" i="4"/>
  <c r="T38" i="4"/>
  <c r="E38" i="4"/>
  <c r="I38" i="4"/>
  <c r="M38" i="4"/>
  <c r="AJ38" i="4"/>
  <c r="W38" i="4"/>
  <c r="R38" i="4"/>
  <c r="F38" i="4"/>
  <c r="K38" i="4"/>
  <c r="AN38" i="4"/>
  <c r="AI38" i="4"/>
  <c r="AA38" i="4"/>
  <c r="V38" i="4"/>
  <c r="Q38" i="4"/>
  <c r="G38" i="4"/>
  <c r="L38" i="4"/>
  <c r="AF38" i="4"/>
  <c r="AE38" i="4"/>
  <c r="S38" i="4"/>
  <c r="J38" i="4"/>
  <c r="Y38" i="4"/>
  <c r="D38" i="4"/>
  <c r="AM38" i="4"/>
  <c r="U38" i="4"/>
  <c r="Z38" i="4"/>
  <c r="N38" i="4"/>
  <c r="H38" i="4"/>
  <c r="C38" i="4"/>
  <c r="C20" i="4"/>
  <c r="C23" i="4"/>
  <c r="C22" i="4"/>
  <c r="O32" i="4" l="1"/>
  <c r="AQ32" i="4"/>
  <c r="AR32" i="4" s="1"/>
  <c r="AC32" i="4"/>
  <c r="AD32" i="4" s="1"/>
  <c r="O38" i="4"/>
  <c r="P38" i="4" s="1"/>
  <c r="F32" i="7" s="1"/>
  <c r="B15" i="4"/>
  <c r="AS32" i="4" l="1"/>
  <c r="P32" i="4"/>
  <c r="D3" i="7"/>
  <c r="H76" i="6"/>
  <c r="AP42" i="4" l="1"/>
  <c r="AL42" i="4"/>
  <c r="AH42" i="4"/>
  <c r="AO42" i="4"/>
  <c r="AK42" i="4"/>
  <c r="AG42" i="4"/>
  <c r="AB42" i="4"/>
  <c r="X42" i="4"/>
  <c r="T42" i="4"/>
  <c r="E42" i="4"/>
  <c r="I42" i="4"/>
  <c r="M42" i="4"/>
  <c r="AJ42" i="4"/>
  <c r="W42" i="4"/>
  <c r="R42" i="4"/>
  <c r="D42" i="4"/>
  <c r="J42" i="4"/>
  <c r="AN42" i="4"/>
  <c r="AI42" i="4"/>
  <c r="AA42" i="4"/>
  <c r="V42" i="4"/>
  <c r="Q42" i="4"/>
  <c r="F42" i="4"/>
  <c r="K42" i="4"/>
  <c r="C42" i="4"/>
  <c r="AF42" i="4"/>
  <c r="Y42" i="4"/>
  <c r="H42" i="4"/>
  <c r="S42" i="4"/>
  <c r="G42" i="4"/>
  <c r="AM42" i="4"/>
  <c r="U42" i="4"/>
  <c r="L42" i="4"/>
  <c r="AE42" i="4"/>
  <c r="N42" i="4"/>
  <c r="Z42" i="4"/>
  <c r="B10" i="7"/>
  <c r="G58" i="6" l="1"/>
  <c r="H45" i="6"/>
  <c r="B28" i="4" l="1"/>
  <c r="B36" i="4" l="1"/>
  <c r="A36" i="4"/>
  <c r="H30" i="7"/>
  <c r="H21" i="7"/>
  <c r="F21" i="7"/>
  <c r="D20" i="7" l="1"/>
  <c r="C21" i="7"/>
  <c r="A21" i="7"/>
  <c r="H68" i="6" l="1"/>
  <c r="AE36" i="4" l="1"/>
  <c r="Q36" i="4"/>
  <c r="D44" i="6"/>
  <c r="N6" i="4"/>
  <c r="M6" i="4"/>
  <c r="L6" i="4"/>
  <c r="K6" i="4"/>
  <c r="J6" i="4"/>
  <c r="I6" i="4"/>
  <c r="H6" i="4"/>
  <c r="G6" i="4"/>
  <c r="F6" i="4"/>
  <c r="E6" i="4"/>
  <c r="D6" i="4"/>
  <c r="C6" i="4"/>
  <c r="A40" i="4" l="1"/>
  <c r="H34" i="7"/>
  <c r="B40" i="4"/>
  <c r="H75" i="6" l="1"/>
  <c r="AP41" i="4" l="1"/>
  <c r="AL41" i="4"/>
  <c r="AH41" i="4"/>
  <c r="AO41" i="4"/>
  <c r="AK41" i="4"/>
  <c r="AG41" i="4"/>
  <c r="AB41" i="4"/>
  <c r="X41" i="4"/>
  <c r="T41" i="4"/>
  <c r="D41" i="4"/>
  <c r="H41" i="4"/>
  <c r="L41" i="4"/>
  <c r="AN41" i="4"/>
  <c r="AF41" i="4"/>
  <c r="Y41" i="4"/>
  <c r="S41" i="4"/>
  <c r="E41" i="4"/>
  <c r="J41" i="4"/>
  <c r="AJ41" i="4"/>
  <c r="AM41" i="4"/>
  <c r="AE41" i="4"/>
  <c r="W41" i="4"/>
  <c r="R41" i="4"/>
  <c r="F41" i="4"/>
  <c r="K41" i="4"/>
  <c r="Z41" i="4"/>
  <c r="I41" i="4"/>
  <c r="N41" i="4"/>
  <c r="AA41" i="4"/>
  <c r="V41" i="4"/>
  <c r="M41" i="4"/>
  <c r="U41" i="4"/>
  <c r="AI41" i="4"/>
  <c r="Q41" i="4"/>
  <c r="G41" i="4"/>
  <c r="C41" i="4"/>
  <c r="B28" i="7"/>
  <c r="B29" i="7"/>
  <c r="B27" i="7"/>
  <c r="AQ36" i="4" l="1"/>
  <c r="AR36" i="4" s="1"/>
  <c r="O36" i="4"/>
  <c r="AC36" i="4"/>
  <c r="AD36" i="4" s="1"/>
  <c r="AS36" i="4" l="1"/>
  <c r="P36" i="4"/>
  <c r="F30" i="7" s="1"/>
  <c r="H77" i="6" l="1"/>
  <c r="H66" i="6"/>
  <c r="H67" i="6"/>
  <c r="H69" i="6"/>
  <c r="H65" i="6"/>
  <c r="H47" i="6"/>
  <c r="H49" i="6"/>
  <c r="D15" i="7"/>
  <c r="H53" i="6"/>
  <c r="D16" i="7" s="1"/>
  <c r="H46" i="6"/>
  <c r="AP37" i="4" l="1"/>
  <c r="AL37" i="4"/>
  <c r="AH37" i="4"/>
  <c r="AO37" i="4"/>
  <c r="AK37" i="4"/>
  <c r="AG37" i="4"/>
  <c r="AB37" i="4"/>
  <c r="X37" i="4"/>
  <c r="T37" i="4"/>
  <c r="D37" i="4"/>
  <c r="H37" i="4"/>
  <c r="L37" i="4"/>
  <c r="AN37" i="4"/>
  <c r="AF37" i="4"/>
  <c r="Y37" i="4"/>
  <c r="S37" i="4"/>
  <c r="F37" i="4"/>
  <c r="K37" i="4"/>
  <c r="AM37" i="4"/>
  <c r="AE37" i="4"/>
  <c r="W37" i="4"/>
  <c r="R37" i="4"/>
  <c r="G37" i="4"/>
  <c r="M37" i="4"/>
  <c r="U37" i="4"/>
  <c r="J37" i="4"/>
  <c r="C37" i="4"/>
  <c r="E37" i="4"/>
  <c r="I37" i="4"/>
  <c r="AJ37" i="4"/>
  <c r="AA37" i="4"/>
  <c r="Q37" i="4"/>
  <c r="N37" i="4"/>
  <c r="AI37" i="4"/>
  <c r="Z37" i="4"/>
  <c r="V37" i="4"/>
  <c r="D12" i="7"/>
  <c r="C21" i="4" s="1"/>
  <c r="AM35" i="4"/>
  <c r="AI35" i="4"/>
  <c r="AE35" i="4"/>
  <c r="AP35" i="4"/>
  <c r="AL35" i="4"/>
  <c r="AH35" i="4"/>
  <c r="Z35" i="4"/>
  <c r="V35" i="4"/>
  <c r="R35" i="4"/>
  <c r="AK35" i="4"/>
  <c r="AB35" i="4"/>
  <c r="W35" i="4"/>
  <c r="Q35" i="4"/>
  <c r="G35" i="4"/>
  <c r="K35" i="4"/>
  <c r="AJ35" i="4"/>
  <c r="AA35" i="4"/>
  <c r="U35" i="4"/>
  <c r="D35" i="4"/>
  <c r="H35" i="4"/>
  <c r="L35" i="4"/>
  <c r="C35" i="4"/>
  <c r="AN35" i="4"/>
  <c r="S35" i="4"/>
  <c r="J35" i="4"/>
  <c r="AF35" i="4"/>
  <c r="F35" i="4"/>
  <c r="AO35" i="4"/>
  <c r="T35" i="4"/>
  <c r="AG35" i="4"/>
  <c r="Y35" i="4"/>
  <c r="E35" i="4"/>
  <c r="M35" i="4"/>
  <c r="X35" i="4"/>
  <c r="N35" i="4"/>
  <c r="I35" i="4"/>
  <c r="D9" i="7"/>
  <c r="C18" i="4" s="1"/>
  <c r="D10" i="7"/>
  <c r="C19" i="4" s="1"/>
  <c r="AM34" i="4"/>
  <c r="AI34" i="4"/>
  <c r="AE34" i="4"/>
  <c r="AP34" i="4"/>
  <c r="AL34" i="4"/>
  <c r="AH34" i="4"/>
  <c r="Z34" i="4"/>
  <c r="V34" i="4"/>
  <c r="R34" i="4"/>
  <c r="AO34" i="4"/>
  <c r="AG34" i="4"/>
  <c r="X34" i="4"/>
  <c r="S34" i="4"/>
  <c r="F34" i="4"/>
  <c r="J34" i="4"/>
  <c r="N34" i="4"/>
  <c r="AN34" i="4"/>
  <c r="AF34" i="4"/>
  <c r="AB34" i="4"/>
  <c r="W34" i="4"/>
  <c r="Q34" i="4"/>
  <c r="G34" i="4"/>
  <c r="K34" i="4"/>
  <c r="AJ34" i="4"/>
  <c r="T34" i="4"/>
  <c r="E34" i="4"/>
  <c r="M34" i="4"/>
  <c r="Y34" i="4"/>
  <c r="AK34" i="4"/>
  <c r="U34" i="4"/>
  <c r="L34" i="4"/>
  <c r="AA34" i="4"/>
  <c r="H34" i="4"/>
  <c r="I34" i="4"/>
  <c r="D34" i="4"/>
  <c r="C34" i="4"/>
  <c r="AM33" i="4"/>
  <c r="AP33" i="4"/>
  <c r="AL33" i="4"/>
  <c r="AH33" i="4"/>
  <c r="Z33" i="4"/>
  <c r="AK33" i="4"/>
  <c r="AF33" i="4"/>
  <c r="Y33" i="4"/>
  <c r="U33" i="4"/>
  <c r="Q33" i="4"/>
  <c r="E33" i="4"/>
  <c r="I33" i="4"/>
  <c r="M33" i="4"/>
  <c r="AJ33" i="4"/>
  <c r="AE33" i="4"/>
  <c r="X33" i="4"/>
  <c r="T33" i="4"/>
  <c r="F33" i="4"/>
  <c r="J33" i="4"/>
  <c r="N33" i="4"/>
  <c r="AG33" i="4"/>
  <c r="V33" i="4"/>
  <c r="H33" i="4"/>
  <c r="C33" i="4"/>
  <c r="L33" i="4"/>
  <c r="G33" i="4"/>
  <c r="AO33" i="4"/>
  <c r="AB33" i="4"/>
  <c r="S33" i="4"/>
  <c r="K33" i="4"/>
  <c r="AN33" i="4"/>
  <c r="AA33" i="4"/>
  <c r="R33" i="4"/>
  <c r="D33" i="4"/>
  <c r="AI33" i="4"/>
  <c r="W33" i="4"/>
  <c r="AP43" i="4"/>
  <c r="AL43" i="4"/>
  <c r="AH43" i="4"/>
  <c r="AO43" i="4"/>
  <c r="AK43" i="4"/>
  <c r="AG43" i="4"/>
  <c r="AB43" i="4"/>
  <c r="X43" i="4"/>
  <c r="T43" i="4"/>
  <c r="F43" i="4"/>
  <c r="J43" i="4"/>
  <c r="N43" i="4"/>
  <c r="AN43" i="4"/>
  <c r="AF43" i="4"/>
  <c r="AA43" i="4"/>
  <c r="V43" i="4"/>
  <c r="Q43" i="4"/>
  <c r="D43" i="4"/>
  <c r="I43" i="4"/>
  <c r="C43" i="4"/>
  <c r="AM43" i="4"/>
  <c r="AE43" i="4"/>
  <c r="Z43" i="4"/>
  <c r="U43" i="4"/>
  <c r="E43" i="4"/>
  <c r="K43" i="4"/>
  <c r="AJ43" i="4"/>
  <c r="AI43" i="4"/>
  <c r="W43" i="4"/>
  <c r="H43" i="4"/>
  <c r="G43" i="4"/>
  <c r="S43" i="4"/>
  <c r="L43" i="4"/>
  <c r="R43" i="4"/>
  <c r="M43" i="4"/>
  <c r="Y43" i="4"/>
  <c r="D21" i="7"/>
  <c r="H54" i="6"/>
  <c r="C24" i="4"/>
  <c r="C25" i="4"/>
  <c r="H11" i="6"/>
  <c r="H12" i="6"/>
  <c r="H13" i="6"/>
  <c r="H14" i="6"/>
  <c r="H15" i="6"/>
  <c r="H16" i="6"/>
  <c r="H17" i="6"/>
  <c r="H18" i="6"/>
  <c r="H19" i="6"/>
  <c r="H20" i="6"/>
  <c r="H21" i="6"/>
  <c r="H10" i="6"/>
  <c r="D17" i="7" l="1"/>
  <c r="J10" i="7" s="1"/>
  <c r="O3" i="6"/>
  <c r="F43" i="7" l="1"/>
  <c r="H38" i="7"/>
  <c r="H9" i="7"/>
  <c r="H12" i="7"/>
  <c r="H16" i="7"/>
  <c r="H36" i="7"/>
  <c r="H14" i="7"/>
  <c r="F45" i="7"/>
  <c r="H29" i="7"/>
  <c r="H15" i="7"/>
  <c r="F41" i="7"/>
  <c r="H27" i="7"/>
  <c r="H31" i="7"/>
  <c r="H35" i="7"/>
  <c r="H25" i="7"/>
  <c r="H10" i="7"/>
  <c r="H13" i="7"/>
  <c r="H28" i="7"/>
  <c r="H17" i="7"/>
  <c r="H11" i="7"/>
  <c r="H37" i="7"/>
  <c r="A20" i="4"/>
  <c r="AQ19" i="4"/>
  <c r="AC19" i="4"/>
  <c r="AF8" i="4"/>
  <c r="AG8" i="4"/>
  <c r="AH8" i="4"/>
  <c r="AI8" i="4"/>
  <c r="AJ8" i="4"/>
  <c r="AK8" i="4"/>
  <c r="AL8" i="4"/>
  <c r="AM8" i="4"/>
  <c r="AN8" i="4"/>
  <c r="AO8" i="4"/>
  <c r="AP8" i="4"/>
  <c r="AF9" i="4"/>
  <c r="AG9" i="4"/>
  <c r="AH9" i="4"/>
  <c r="AI9" i="4"/>
  <c r="AJ9" i="4"/>
  <c r="AK9" i="4"/>
  <c r="AL9" i="4"/>
  <c r="AM9" i="4"/>
  <c r="AN9" i="4"/>
  <c r="AO9" i="4"/>
  <c r="AP9" i="4"/>
  <c r="AF10" i="4"/>
  <c r="AG10" i="4"/>
  <c r="AH10" i="4"/>
  <c r="AI10" i="4"/>
  <c r="AJ10" i="4"/>
  <c r="AK10" i="4"/>
  <c r="AL10" i="4"/>
  <c r="AM10" i="4"/>
  <c r="AN10" i="4"/>
  <c r="AO10" i="4"/>
  <c r="AP10" i="4"/>
  <c r="AE10" i="4"/>
  <c r="AE9" i="4"/>
  <c r="AE8" i="4"/>
  <c r="R8" i="4"/>
  <c r="S8" i="4"/>
  <c r="T8" i="4"/>
  <c r="U8" i="4"/>
  <c r="V8" i="4"/>
  <c r="W8" i="4"/>
  <c r="X8" i="4"/>
  <c r="Y8" i="4"/>
  <c r="Z8" i="4"/>
  <c r="AA8" i="4"/>
  <c r="AB8" i="4"/>
  <c r="R9" i="4"/>
  <c r="S9" i="4"/>
  <c r="T9" i="4"/>
  <c r="U9" i="4"/>
  <c r="V9" i="4"/>
  <c r="W9" i="4"/>
  <c r="X9" i="4"/>
  <c r="Y9" i="4"/>
  <c r="Z9" i="4"/>
  <c r="AA9" i="4"/>
  <c r="AB9" i="4"/>
  <c r="R10" i="4"/>
  <c r="S10" i="4"/>
  <c r="T10" i="4"/>
  <c r="U10" i="4"/>
  <c r="V10" i="4"/>
  <c r="W10" i="4"/>
  <c r="X10" i="4"/>
  <c r="Y10" i="4"/>
  <c r="Z10" i="4"/>
  <c r="AA10" i="4"/>
  <c r="AB10" i="4"/>
  <c r="Q10" i="4"/>
  <c r="Q9" i="4"/>
  <c r="Q8" i="4"/>
  <c r="AC38" i="4" l="1"/>
  <c r="AD38" i="4" s="1"/>
  <c r="AQ38" i="4"/>
  <c r="AR38" i="4" s="1"/>
  <c r="AS17" i="4"/>
  <c r="AR17" i="4"/>
  <c r="AQ17" i="4"/>
  <c r="AC17" i="4"/>
  <c r="AD17" i="4"/>
  <c r="P17" i="4"/>
  <c r="O17" i="4"/>
  <c r="P30" i="4"/>
  <c r="O30" i="4"/>
  <c r="P46" i="4"/>
  <c r="O46" i="4"/>
  <c r="P56" i="4"/>
  <c r="O56" i="4"/>
  <c r="AS38" i="4" l="1"/>
  <c r="C20" i="7"/>
  <c r="J6" i="7" l="1"/>
  <c r="B67" i="4" l="1"/>
  <c r="AN67" i="4" s="1"/>
  <c r="I67" i="4" l="1"/>
  <c r="W67" i="4"/>
  <c r="AA67" i="4"/>
  <c r="M67" i="4"/>
  <c r="E67" i="4"/>
  <c r="AG67" i="4"/>
  <c r="S67" i="4"/>
  <c r="AK67" i="4"/>
  <c r="L67" i="4"/>
  <c r="H67" i="4"/>
  <c r="D67" i="4"/>
  <c r="T67" i="4"/>
  <c r="X67" i="4"/>
  <c r="AB67" i="4"/>
  <c r="AH67" i="4"/>
  <c r="AL67" i="4"/>
  <c r="AP67" i="4"/>
  <c r="C67" i="4"/>
  <c r="K67" i="4"/>
  <c r="G67" i="4"/>
  <c r="Q67" i="4"/>
  <c r="U67" i="4"/>
  <c r="Y67" i="4"/>
  <c r="AE67" i="4"/>
  <c r="AI67" i="4"/>
  <c r="AM67" i="4"/>
  <c r="AO67" i="4"/>
  <c r="N67" i="4"/>
  <c r="J67" i="4"/>
  <c r="F67" i="4"/>
  <c r="R67" i="4"/>
  <c r="V67" i="4"/>
  <c r="Z67" i="4"/>
  <c r="AF67" i="4"/>
  <c r="AJ67" i="4"/>
  <c r="AF6" i="4" l="1"/>
  <c r="AG6" i="4"/>
  <c r="AH6" i="4"/>
  <c r="AI6" i="4"/>
  <c r="AJ6" i="4"/>
  <c r="AK6" i="4"/>
  <c r="AL6" i="4"/>
  <c r="AM6" i="4"/>
  <c r="AN6" i="4"/>
  <c r="AO6" i="4"/>
  <c r="AP6" i="4"/>
  <c r="AF7" i="4"/>
  <c r="AG7" i="4"/>
  <c r="AH7" i="4"/>
  <c r="AI7" i="4"/>
  <c r="AJ7" i="4"/>
  <c r="AK7" i="4"/>
  <c r="AL7" i="4"/>
  <c r="AM7" i="4"/>
  <c r="AN7" i="4"/>
  <c r="AO7" i="4"/>
  <c r="AP7" i="4"/>
  <c r="AE7" i="4"/>
  <c r="AE6" i="4"/>
  <c r="R6" i="4"/>
  <c r="S6" i="4"/>
  <c r="T6" i="4"/>
  <c r="U6" i="4"/>
  <c r="V6" i="4"/>
  <c r="W6" i="4"/>
  <c r="X6" i="4"/>
  <c r="Y6" i="4"/>
  <c r="Z6" i="4"/>
  <c r="AA6" i="4"/>
  <c r="AB6" i="4"/>
  <c r="R7" i="4"/>
  <c r="S7" i="4"/>
  <c r="T7" i="4"/>
  <c r="U7" i="4"/>
  <c r="V7" i="4"/>
  <c r="W7" i="4"/>
  <c r="X7" i="4"/>
  <c r="Y7" i="4"/>
  <c r="Z7" i="4"/>
  <c r="AA7" i="4"/>
  <c r="AB7" i="4"/>
  <c r="Q7" i="4"/>
  <c r="Q6" i="4"/>
  <c r="A39" i="4" l="1"/>
  <c r="A31" i="4"/>
  <c r="O24" i="4"/>
  <c r="O23" i="4"/>
  <c r="O21" i="4"/>
  <c r="A25" i="4"/>
  <c r="A24" i="4"/>
  <c r="A23" i="4"/>
  <c r="A22" i="4"/>
  <c r="A21" i="4"/>
  <c r="A19" i="4"/>
  <c r="C2" i="4"/>
  <c r="A43" i="4"/>
  <c r="A42" i="4"/>
  <c r="A41" i="4"/>
  <c r="A37" i="4"/>
  <c r="A35" i="4"/>
  <c r="A34" i="4"/>
  <c r="A33" i="4"/>
  <c r="AQ23" i="4"/>
  <c r="AQ21" i="4"/>
  <c r="AC23" i="4"/>
  <c r="AC21" i="4"/>
  <c r="B9" i="7"/>
  <c r="A18" i="4" s="1"/>
  <c r="O5" i="6"/>
  <c r="O4" i="6"/>
  <c r="AQ20" i="4"/>
  <c r="AC20" i="4"/>
  <c r="AC18" i="4"/>
  <c r="AQ18" i="4"/>
  <c r="O62" i="4"/>
  <c r="AS62" i="4" s="1"/>
  <c r="AS30" i="4"/>
  <c r="AS46" i="4" s="1"/>
  <c r="AS56" i="4" s="1"/>
  <c r="AR30" i="4"/>
  <c r="AR46" i="4" s="1"/>
  <c r="AR56" i="4" s="1"/>
  <c r="AQ30" i="4"/>
  <c r="AQ46" i="4" s="1"/>
  <c r="AQ56" i="4" s="1"/>
  <c r="AD30" i="4"/>
  <c r="AD46" i="4" s="1"/>
  <c r="AD56" i="4" s="1"/>
  <c r="AC30" i="4"/>
  <c r="AC46" i="4" s="1"/>
  <c r="AC56" i="4" s="1"/>
  <c r="A54" i="4"/>
  <c r="A51" i="4"/>
  <c r="A50" i="4"/>
  <c r="A48" i="4"/>
  <c r="C1" i="4"/>
  <c r="AC24" i="4"/>
  <c r="AQ24" i="4"/>
  <c r="B19" i="4" l="1"/>
  <c r="B35" i="4"/>
  <c r="O20" i="4"/>
  <c r="AS20" i="4" s="1"/>
  <c r="O19" i="4"/>
  <c r="AS19" i="4" s="1"/>
  <c r="B25" i="4"/>
  <c r="B60" i="4"/>
  <c r="C5" i="4"/>
  <c r="B47" i="4"/>
  <c r="B20" i="4"/>
  <c r="B51" i="4"/>
  <c r="B26" i="4"/>
  <c r="B58" i="4"/>
  <c r="A72" i="4"/>
  <c r="B63" i="4"/>
  <c r="A71" i="4"/>
  <c r="A70" i="4"/>
  <c r="A69" i="4"/>
  <c r="B21" i="4"/>
  <c r="B48" i="4"/>
  <c r="B52" i="4"/>
  <c r="B59" i="4"/>
  <c r="A74" i="4"/>
  <c r="B37" i="4"/>
  <c r="B22" i="4"/>
  <c r="B33" i="4"/>
  <c r="B42" i="4"/>
  <c r="B49" i="4"/>
  <c r="B53" i="4"/>
  <c r="B61" i="4"/>
  <c r="B41" i="4"/>
  <c r="B54" i="4"/>
  <c r="B43" i="4"/>
  <c r="B18" i="4"/>
  <c r="B24" i="4"/>
  <c r="B34" i="4"/>
  <c r="B44" i="4"/>
  <c r="B50" i="4"/>
  <c r="B57" i="4"/>
  <c r="B62" i="4"/>
  <c r="B23" i="4"/>
  <c r="B31" i="4"/>
  <c r="D2" i="7"/>
  <c r="AS24" i="4"/>
  <c r="AS21" i="4"/>
  <c r="AS23" i="4"/>
  <c r="B39" i="4"/>
  <c r="J8" i="7"/>
  <c r="D2" i="4"/>
  <c r="D14" i="4" s="1"/>
  <c r="C15" i="4" l="1"/>
  <c r="C65" i="4"/>
  <c r="C56" i="4"/>
  <c r="C30" i="4"/>
  <c r="C17" i="4"/>
  <c r="C46" i="4"/>
  <c r="C13" i="4"/>
  <c r="O33" i="4"/>
  <c r="P33" i="4" s="1"/>
  <c r="AQ33" i="4"/>
  <c r="AR33" i="4" s="1"/>
  <c r="AC33" i="4"/>
  <c r="AD33" i="4" s="1"/>
  <c r="O34" i="4"/>
  <c r="P34" i="4" s="1"/>
  <c r="F28" i="7" s="1"/>
  <c r="O35" i="4"/>
  <c r="P35" i="4" s="1"/>
  <c r="F29" i="7" s="1"/>
  <c r="E2" i="4"/>
  <c r="E14" i="4" s="1"/>
  <c r="D5" i="4"/>
  <c r="AQ35" i="4"/>
  <c r="AR35" i="4" s="1"/>
  <c r="O42" i="4"/>
  <c r="AQ37" i="4"/>
  <c r="AR37" i="4" s="1"/>
  <c r="AC34" i="4"/>
  <c r="AD34" i="4" s="1"/>
  <c r="AQ34" i="4"/>
  <c r="AR34" i="4" s="1"/>
  <c r="AQ43" i="4"/>
  <c r="AR43" i="4" s="1"/>
  <c r="O37" i="4"/>
  <c r="O18" i="4"/>
  <c r="AS18" i="4" s="1"/>
  <c r="C26" i="4"/>
  <c r="C61" i="4" s="1"/>
  <c r="O43" i="4"/>
  <c r="AC43" i="4"/>
  <c r="AD43" i="4" s="1"/>
  <c r="AQ42" i="4"/>
  <c r="AR42" i="4" s="1"/>
  <c r="AC42" i="4"/>
  <c r="AD42" i="4" s="1"/>
  <c r="AC37" i="4"/>
  <c r="AD37" i="4" s="1"/>
  <c r="AC35" i="4"/>
  <c r="AD35" i="4" s="1"/>
  <c r="C31" i="4" l="1"/>
  <c r="C39" i="4"/>
  <c r="D15" i="4"/>
  <c r="F27" i="7"/>
  <c r="F26" i="7"/>
  <c r="AS33" i="4"/>
  <c r="D17" i="4"/>
  <c r="D13" i="4"/>
  <c r="D65" i="4"/>
  <c r="D46" i="4"/>
  <c r="D56" i="4"/>
  <c r="D30" i="4"/>
  <c r="F2" i="4"/>
  <c r="F14" i="4" s="1"/>
  <c r="E5" i="4"/>
  <c r="C60" i="4"/>
  <c r="C50" i="4"/>
  <c r="AS43" i="4"/>
  <c r="P43" i="4"/>
  <c r="F37" i="7" s="1"/>
  <c r="AS34" i="4"/>
  <c r="AS37" i="4"/>
  <c r="P37" i="4"/>
  <c r="F31" i="7" s="1"/>
  <c r="AS42" i="4"/>
  <c r="P42" i="4"/>
  <c r="F36" i="7" s="1"/>
  <c r="AS35" i="4"/>
  <c r="D39" i="4" l="1"/>
  <c r="D31" i="4"/>
  <c r="E15" i="4"/>
  <c r="F15" i="4"/>
  <c r="C47" i="4"/>
  <c r="F5" i="4"/>
  <c r="G2" i="4"/>
  <c r="G14" i="4" s="1"/>
  <c r="E56" i="4"/>
  <c r="E65" i="4"/>
  <c r="E30" i="4"/>
  <c r="E46" i="4"/>
  <c r="E13" i="4"/>
  <c r="E17" i="4"/>
  <c r="F39" i="4" l="1"/>
  <c r="F31" i="4"/>
  <c r="E39" i="4"/>
  <c r="E31" i="4"/>
  <c r="G15" i="4"/>
  <c r="D47" i="4"/>
  <c r="H2" i="4"/>
  <c r="H14" i="4" s="1"/>
  <c r="G5" i="4"/>
  <c r="F65" i="4"/>
  <c r="F30" i="4"/>
  <c r="F46" i="4"/>
  <c r="F17" i="4"/>
  <c r="F13" i="4"/>
  <c r="F56" i="4"/>
  <c r="G39" i="4" l="1"/>
  <c r="G31" i="4"/>
  <c r="H15" i="4"/>
  <c r="E47" i="4"/>
  <c r="G17" i="4"/>
  <c r="G65" i="4"/>
  <c r="G30" i="4"/>
  <c r="G13" i="4"/>
  <c r="G46" i="4"/>
  <c r="G56" i="4"/>
  <c r="I2" i="4"/>
  <c r="I14" i="4" s="1"/>
  <c r="H5" i="4"/>
  <c r="H39" i="4" l="1"/>
  <c r="H31" i="4"/>
  <c r="F47" i="4"/>
  <c r="H65" i="4"/>
  <c r="H17" i="4"/>
  <c r="H30" i="4"/>
  <c r="H13" i="4"/>
  <c r="H46" i="4"/>
  <c r="H56" i="4"/>
  <c r="J2" i="4"/>
  <c r="J14" i="4" s="1"/>
  <c r="I5" i="4"/>
  <c r="I15" i="4" l="1"/>
  <c r="J15" i="4"/>
  <c r="G47" i="4"/>
  <c r="I17" i="4"/>
  <c r="I65" i="4"/>
  <c r="I13" i="4"/>
  <c r="I56" i="4"/>
  <c r="I30" i="4"/>
  <c r="I46" i="4"/>
  <c r="J5" i="4"/>
  <c r="K2" i="4"/>
  <c r="K14" i="4" s="1"/>
  <c r="I39" i="4" l="1"/>
  <c r="I31" i="4"/>
  <c r="J39" i="4"/>
  <c r="J31" i="4"/>
  <c r="K15" i="4"/>
  <c r="H47" i="4"/>
  <c r="K5" i="4"/>
  <c r="L2" i="4"/>
  <c r="L14" i="4" s="1"/>
  <c r="J56" i="4"/>
  <c r="J17" i="4"/>
  <c r="J13" i="4"/>
  <c r="J65" i="4"/>
  <c r="J30" i="4"/>
  <c r="J46" i="4"/>
  <c r="D26" i="4"/>
  <c r="D61" i="4" s="1"/>
  <c r="K39" i="4" l="1"/>
  <c r="K31" i="4"/>
  <c r="I47" i="4"/>
  <c r="M2" i="4"/>
  <c r="M14" i="4" s="1"/>
  <c r="L5" i="4"/>
  <c r="K65" i="4"/>
  <c r="K30" i="4"/>
  <c r="K13" i="4"/>
  <c r="K46" i="4"/>
  <c r="K56" i="4"/>
  <c r="K17" i="4"/>
  <c r="D60" i="4"/>
  <c r="D50" i="4"/>
  <c r="L15" i="4" l="1"/>
  <c r="J47" i="4"/>
  <c r="F26" i="4"/>
  <c r="F61" i="4" s="1"/>
  <c r="L17" i="4"/>
  <c r="L30" i="4"/>
  <c r="L13" i="4"/>
  <c r="L65" i="4"/>
  <c r="L56" i="4"/>
  <c r="L46" i="4"/>
  <c r="N2" i="4"/>
  <c r="N14" i="4" s="1"/>
  <c r="M5" i="4"/>
  <c r="L39" i="4" l="1"/>
  <c r="L31" i="4"/>
  <c r="M15" i="4"/>
  <c r="N15" i="4"/>
  <c r="K47" i="4"/>
  <c r="F60" i="4"/>
  <c r="F50" i="4"/>
  <c r="N5" i="4"/>
  <c r="Q2" i="4"/>
  <c r="Q14" i="4" s="1"/>
  <c r="M46" i="4"/>
  <c r="M17" i="4"/>
  <c r="M56" i="4"/>
  <c r="M65" i="4"/>
  <c r="M13" i="4"/>
  <c r="M30" i="4"/>
  <c r="G26" i="4"/>
  <c r="G61" i="4" s="1"/>
  <c r="H26" i="4"/>
  <c r="H61" i="4" s="1"/>
  <c r="N39" i="4" l="1"/>
  <c r="N31" i="4"/>
  <c r="M39" i="4"/>
  <c r="M31" i="4"/>
  <c r="O14" i="4"/>
  <c r="O15" i="4" s="1"/>
  <c r="L47" i="4"/>
  <c r="R2" i="4"/>
  <c r="R14" i="4" s="1"/>
  <c r="Q5" i="4"/>
  <c r="N56" i="4"/>
  <c r="N30" i="4"/>
  <c r="N17" i="4"/>
  <c r="N13" i="4"/>
  <c r="N65" i="4"/>
  <c r="N46" i="4"/>
  <c r="H60" i="4"/>
  <c r="H50" i="4"/>
  <c r="G50" i="4"/>
  <c r="G60" i="4"/>
  <c r="I26" i="4"/>
  <c r="I61" i="4" s="1"/>
  <c r="Q15" i="4" l="1"/>
  <c r="P14" i="4"/>
  <c r="M47" i="4"/>
  <c r="Q30" i="4"/>
  <c r="Q56" i="4"/>
  <c r="Q13" i="4"/>
  <c r="Q65" i="4"/>
  <c r="Q46" i="4"/>
  <c r="Q17" i="4"/>
  <c r="S2" i="4"/>
  <c r="S14" i="4" s="1"/>
  <c r="R5" i="4"/>
  <c r="I60" i="4"/>
  <c r="I50" i="4"/>
  <c r="J26" i="4"/>
  <c r="J61" i="4" s="1"/>
  <c r="Q39" i="4" l="1"/>
  <c r="Q31" i="4"/>
  <c r="R15" i="4"/>
  <c r="P15" i="4"/>
  <c r="C6" i="7"/>
  <c r="N47" i="4"/>
  <c r="T2" i="4"/>
  <c r="T14" i="4" s="1"/>
  <c r="S5" i="4"/>
  <c r="R17" i="4"/>
  <c r="R46" i="4"/>
  <c r="R56" i="4"/>
  <c r="R30" i="4"/>
  <c r="R13" i="4"/>
  <c r="R65" i="4"/>
  <c r="K26" i="4"/>
  <c r="K61" i="4" s="1"/>
  <c r="J60" i="4"/>
  <c r="J50" i="4"/>
  <c r="R39" i="4" l="1"/>
  <c r="R31" i="4"/>
  <c r="S15" i="4"/>
  <c r="T15" i="4"/>
  <c r="Q47" i="4"/>
  <c r="O25" i="4"/>
  <c r="S17" i="4"/>
  <c r="S46" i="4"/>
  <c r="S65" i="4"/>
  <c r="S30" i="4"/>
  <c r="S13" i="4"/>
  <c r="S56" i="4"/>
  <c r="U2" i="4"/>
  <c r="U14" i="4" s="1"/>
  <c r="T5" i="4"/>
  <c r="L26" i="4"/>
  <c r="L61" i="4" s="1"/>
  <c r="K50" i="4"/>
  <c r="K60" i="4"/>
  <c r="T39" i="4" l="1"/>
  <c r="T31" i="4"/>
  <c r="S39" i="4"/>
  <c r="S31" i="4"/>
  <c r="U15" i="4"/>
  <c r="D26" i="7"/>
  <c r="D32" i="7"/>
  <c r="D30" i="7"/>
  <c r="D29" i="7"/>
  <c r="D27" i="7"/>
  <c r="D28" i="7"/>
  <c r="D37" i="7"/>
  <c r="D36" i="7"/>
  <c r="D31" i="7"/>
  <c r="R47" i="4"/>
  <c r="U5" i="4"/>
  <c r="V2" i="4"/>
  <c r="V14" i="4" s="1"/>
  <c r="T46" i="4"/>
  <c r="T13" i="4"/>
  <c r="T65" i="4"/>
  <c r="T17" i="4"/>
  <c r="T56" i="4"/>
  <c r="T30" i="4"/>
  <c r="M26" i="4"/>
  <c r="M61" i="4" s="1"/>
  <c r="L60" i="4"/>
  <c r="L50" i="4"/>
  <c r="U39" i="4" l="1"/>
  <c r="U31" i="4"/>
  <c r="V15" i="4"/>
  <c r="S47" i="4"/>
  <c r="W2" i="4"/>
  <c r="W14" i="4" s="1"/>
  <c r="V5" i="4"/>
  <c r="U17" i="4"/>
  <c r="U46" i="4"/>
  <c r="U30" i="4"/>
  <c r="U13" i="4"/>
  <c r="U65" i="4"/>
  <c r="U56" i="4"/>
  <c r="M50" i="4"/>
  <c r="M60" i="4"/>
  <c r="V39" i="4" l="1"/>
  <c r="V31" i="4"/>
  <c r="W15" i="4"/>
  <c r="T47" i="4"/>
  <c r="V46" i="4"/>
  <c r="V13" i="4"/>
  <c r="V65" i="4"/>
  <c r="V30" i="4"/>
  <c r="V17" i="4"/>
  <c r="V56" i="4"/>
  <c r="X2" i="4"/>
  <c r="X14" i="4" s="1"/>
  <c r="W5" i="4"/>
  <c r="N26" i="4"/>
  <c r="N61" i="4" s="1"/>
  <c r="O22" i="4"/>
  <c r="W39" i="4" l="1"/>
  <c r="W31" i="4"/>
  <c r="X15" i="4"/>
  <c r="U47" i="4"/>
  <c r="Y2" i="4"/>
  <c r="Y14" i="4" s="1"/>
  <c r="X5" i="4"/>
  <c r="W30" i="4"/>
  <c r="W13" i="4"/>
  <c r="W17" i="4"/>
  <c r="W46" i="4"/>
  <c r="W65" i="4"/>
  <c r="W56" i="4"/>
  <c r="Q26" i="4"/>
  <c r="Q61" i="4" s="1"/>
  <c r="R26" i="4"/>
  <c r="R61" i="4" s="1"/>
  <c r="N60" i="4"/>
  <c r="N50" i="4"/>
  <c r="O26" i="4"/>
  <c r="X39" i="4" l="1"/>
  <c r="X31" i="4"/>
  <c r="Y15" i="4"/>
  <c r="V47" i="4"/>
  <c r="X17" i="4"/>
  <c r="X65" i="4"/>
  <c r="X30" i="4"/>
  <c r="X56" i="4"/>
  <c r="X46" i="4"/>
  <c r="X13" i="4"/>
  <c r="Y5" i="4"/>
  <c r="Z2" i="4"/>
  <c r="Z14" i="4" s="1"/>
  <c r="Q50" i="4"/>
  <c r="Q60" i="4"/>
  <c r="R50" i="4"/>
  <c r="R60" i="4"/>
  <c r="Y39" i="4" l="1"/>
  <c r="Y31" i="4"/>
  <c r="Z15" i="4"/>
  <c r="W47" i="4"/>
  <c r="Y13" i="4"/>
  <c r="Y65" i="4"/>
  <c r="Y46" i="4"/>
  <c r="Y56" i="4"/>
  <c r="Y30" i="4"/>
  <c r="Y17" i="4"/>
  <c r="AA2" i="4"/>
  <c r="AA14" i="4" s="1"/>
  <c r="Z5" i="4"/>
  <c r="S26" i="4"/>
  <c r="S61" i="4" s="1"/>
  <c r="T26" i="4"/>
  <c r="T61" i="4" s="1"/>
  <c r="Z39" i="4" l="1"/>
  <c r="Z31" i="4"/>
  <c r="AA15" i="4"/>
  <c r="X47" i="4"/>
  <c r="AB2" i="4"/>
  <c r="AB14" i="4" s="1"/>
  <c r="AA5" i="4"/>
  <c r="Z56" i="4"/>
  <c r="Z46" i="4"/>
  <c r="Z30" i="4"/>
  <c r="Z17" i="4"/>
  <c r="Z65" i="4"/>
  <c r="Z13" i="4"/>
  <c r="T50" i="4"/>
  <c r="T60" i="4"/>
  <c r="S60" i="4"/>
  <c r="S50" i="4"/>
  <c r="AA39" i="4" l="1"/>
  <c r="AA31" i="4"/>
  <c r="Y47" i="4"/>
  <c r="AA46" i="4"/>
  <c r="AA17" i="4"/>
  <c r="AA65" i="4"/>
  <c r="AA30" i="4"/>
  <c r="AA56" i="4"/>
  <c r="AA13" i="4"/>
  <c r="AE2" i="4"/>
  <c r="AE14" i="4" s="1"/>
  <c r="AB5" i="4"/>
  <c r="U26" i="4"/>
  <c r="U61" i="4" s="1"/>
  <c r="V26" i="4"/>
  <c r="V61" i="4" s="1"/>
  <c r="AB15" i="4" l="1"/>
  <c r="AC14" i="4"/>
  <c r="AC15" i="4" s="1"/>
  <c r="Z47" i="4"/>
  <c r="AE5" i="4"/>
  <c r="AF2" i="4"/>
  <c r="AF14" i="4" s="1"/>
  <c r="AB46" i="4"/>
  <c r="AB56" i="4"/>
  <c r="AB13" i="4"/>
  <c r="AB17" i="4"/>
  <c r="AB30" i="4"/>
  <c r="AB65" i="4"/>
  <c r="U60" i="4"/>
  <c r="U50" i="4"/>
  <c r="V50" i="4"/>
  <c r="V60" i="4"/>
  <c r="W26" i="4"/>
  <c r="W61" i="4" s="1"/>
  <c r="AB39" i="4" l="1"/>
  <c r="AB31" i="4"/>
  <c r="AE15" i="4"/>
  <c r="AD14" i="4"/>
  <c r="AA47" i="4"/>
  <c r="AF5" i="4"/>
  <c r="AG2" i="4"/>
  <c r="AG14" i="4" s="1"/>
  <c r="AE56" i="4"/>
  <c r="AE65" i="4"/>
  <c r="AE30" i="4"/>
  <c r="AE17" i="4"/>
  <c r="AE13" i="4"/>
  <c r="AE46" i="4"/>
  <c r="W60" i="4"/>
  <c r="W50" i="4"/>
  <c r="X26" i="4"/>
  <c r="X61" i="4" s="1"/>
  <c r="AE39" i="4" l="1"/>
  <c r="AE31" i="4"/>
  <c r="AF15" i="4"/>
  <c r="AD15" i="4"/>
  <c r="E6" i="7"/>
  <c r="AB47" i="4"/>
  <c r="AH2" i="4"/>
  <c r="AH14" i="4" s="1"/>
  <c r="AG5" i="4"/>
  <c r="AF65" i="4"/>
  <c r="AF17" i="4"/>
  <c r="AF30" i="4"/>
  <c r="AF13" i="4"/>
  <c r="AF46" i="4"/>
  <c r="AF56" i="4"/>
  <c r="X50" i="4"/>
  <c r="X60" i="4"/>
  <c r="Y26" i="4"/>
  <c r="Y61" i="4" s="1"/>
  <c r="AF39" i="4" l="1"/>
  <c r="AF31" i="4"/>
  <c r="AG15" i="4"/>
  <c r="AE47" i="4"/>
  <c r="AC25" i="4"/>
  <c r="AG46" i="4"/>
  <c r="AG56" i="4"/>
  <c r="AG13" i="4"/>
  <c r="AG30" i="4"/>
  <c r="AG17" i="4"/>
  <c r="AG65" i="4"/>
  <c r="AI2" i="4"/>
  <c r="AI14" i="4" s="1"/>
  <c r="AH5" i="4"/>
  <c r="Y50" i="4"/>
  <c r="Y60" i="4"/>
  <c r="Z26" i="4"/>
  <c r="Z61" i="4" s="1"/>
  <c r="AG39" i="4" l="1"/>
  <c r="AG31" i="4"/>
  <c r="AH15" i="4"/>
  <c r="AI15" i="4"/>
  <c r="AF47" i="4"/>
  <c r="AI5" i="4"/>
  <c r="AJ2" i="4"/>
  <c r="AJ14" i="4" s="1"/>
  <c r="AH65" i="4"/>
  <c r="AH30" i="4"/>
  <c r="AH46" i="4"/>
  <c r="AH13" i="4"/>
  <c r="AH56" i="4"/>
  <c r="AH17" i="4"/>
  <c r="Z50" i="4"/>
  <c r="Z60" i="4"/>
  <c r="AA26" i="4"/>
  <c r="AA61" i="4" s="1"/>
  <c r="AI39" i="4" l="1"/>
  <c r="AI31" i="4"/>
  <c r="AH39" i="4"/>
  <c r="AH31" i="4"/>
  <c r="AJ15" i="4"/>
  <c r="AG47" i="4"/>
  <c r="AK2" i="4"/>
  <c r="AK14" i="4" s="1"/>
  <c r="AJ5" i="4"/>
  <c r="AI56" i="4"/>
  <c r="AI65" i="4"/>
  <c r="AI13" i="4"/>
  <c r="AI30" i="4"/>
  <c r="AI46" i="4"/>
  <c r="AI17" i="4"/>
  <c r="AA60" i="4"/>
  <c r="AA50" i="4"/>
  <c r="AJ39" i="4" l="1"/>
  <c r="AJ31" i="4"/>
  <c r="AK15" i="4"/>
  <c r="AH47" i="4"/>
  <c r="AJ56" i="4"/>
  <c r="AJ46" i="4"/>
  <c r="AJ17" i="4"/>
  <c r="AJ65" i="4"/>
  <c r="AJ30" i="4"/>
  <c r="AJ13" i="4"/>
  <c r="AL2" i="4"/>
  <c r="AL14" i="4" s="1"/>
  <c r="AK5" i="4"/>
  <c r="AB26" i="4"/>
  <c r="AB61" i="4" s="1"/>
  <c r="AC22" i="4"/>
  <c r="AK39" i="4" l="1"/>
  <c r="AK31" i="4"/>
  <c r="AL15" i="4"/>
  <c r="AI47" i="4"/>
  <c r="AM2" i="4"/>
  <c r="AM14" i="4" s="1"/>
  <c r="AL5" i="4"/>
  <c r="AK65" i="4"/>
  <c r="AK46" i="4"/>
  <c r="AK17" i="4"/>
  <c r="AK30" i="4"/>
  <c r="AK13" i="4"/>
  <c r="AK56" i="4"/>
  <c r="AF26" i="4"/>
  <c r="AF61" i="4" s="1"/>
  <c r="AE26" i="4"/>
  <c r="AE61" i="4" s="1"/>
  <c r="AB50" i="4"/>
  <c r="AB60" i="4"/>
  <c r="AC26" i="4"/>
  <c r="AL39" i="4" l="1"/>
  <c r="AL31" i="4"/>
  <c r="AM15" i="4"/>
  <c r="AJ47" i="4"/>
  <c r="AL17" i="4"/>
  <c r="AL30" i="4"/>
  <c r="AL65" i="4"/>
  <c r="AL13" i="4"/>
  <c r="AL56" i="4"/>
  <c r="AL46" i="4"/>
  <c r="AM5" i="4"/>
  <c r="AN2" i="4"/>
  <c r="AN14" i="4" s="1"/>
  <c r="AG26" i="4"/>
  <c r="AG61" i="4" s="1"/>
  <c r="AF60" i="4"/>
  <c r="AF50" i="4"/>
  <c r="AE50" i="4"/>
  <c r="AE60" i="4"/>
  <c r="AC50" i="4"/>
  <c r="AC61" i="4"/>
  <c r="AC60" i="4"/>
  <c r="AM39" i="4" l="1"/>
  <c r="AM31" i="4"/>
  <c r="AN15" i="4"/>
  <c r="AK47" i="4"/>
  <c r="AM46" i="4"/>
  <c r="AM56" i="4"/>
  <c r="AM65" i="4"/>
  <c r="AM13" i="4"/>
  <c r="AM17" i="4"/>
  <c r="AM30" i="4"/>
  <c r="AO2" i="4"/>
  <c r="AO14" i="4" s="1"/>
  <c r="AN5" i="4"/>
  <c r="AG60" i="4"/>
  <c r="AG50" i="4"/>
  <c r="AH26" i="4"/>
  <c r="AH61" i="4" s="1"/>
  <c r="AN39" i="4" l="1"/>
  <c r="AN31" i="4"/>
  <c r="AO15" i="4"/>
  <c r="AL47" i="4"/>
  <c r="AN65" i="4"/>
  <c r="AN17" i="4"/>
  <c r="AN46" i="4"/>
  <c r="AN13" i="4"/>
  <c r="AN30" i="4"/>
  <c r="AN56" i="4"/>
  <c r="AP2" i="4"/>
  <c r="AP14" i="4" s="1"/>
  <c r="AO5" i="4"/>
  <c r="AI26" i="4"/>
  <c r="AI61" i="4" s="1"/>
  <c r="AH60" i="4"/>
  <c r="AH50" i="4"/>
  <c r="AO39" i="4" l="1"/>
  <c r="AO31" i="4"/>
  <c r="AP15" i="4"/>
  <c r="AM47" i="4"/>
  <c r="AP5" i="4"/>
  <c r="AO46" i="4"/>
  <c r="AO30" i="4"/>
  <c r="AO65" i="4"/>
  <c r="AO17" i="4"/>
  <c r="AO13" i="4"/>
  <c r="AO56" i="4"/>
  <c r="AI60" i="4"/>
  <c r="AI50" i="4"/>
  <c r="AJ26" i="4"/>
  <c r="AJ61" i="4" s="1"/>
  <c r="AP39" i="4" l="1"/>
  <c r="AP31" i="4"/>
  <c r="AQ14" i="4"/>
  <c r="AQ15" i="4" s="1"/>
  <c r="AN47" i="4"/>
  <c r="AP13" i="4"/>
  <c r="AP30" i="4"/>
  <c r="AP46" i="4"/>
  <c r="AP56" i="4"/>
  <c r="AP65" i="4"/>
  <c r="AP17" i="4"/>
  <c r="AJ60" i="4"/>
  <c r="AJ50" i="4"/>
  <c r="AK26" i="4"/>
  <c r="AK61" i="4" s="1"/>
  <c r="AR14" i="4" l="1"/>
  <c r="AS14" i="4"/>
  <c r="AS15" i="4" s="1"/>
  <c r="AO47" i="4"/>
  <c r="AL26" i="4"/>
  <c r="AL61" i="4" s="1"/>
  <c r="AK60" i="4"/>
  <c r="AK50" i="4"/>
  <c r="AR15" i="4" l="1"/>
  <c r="G6" i="7"/>
  <c r="AP47" i="4"/>
  <c r="AL60" i="4"/>
  <c r="AL50" i="4"/>
  <c r="AM26" i="4"/>
  <c r="AM61" i="4" s="1"/>
  <c r="AQ25" i="4" l="1"/>
  <c r="AS25" i="4" s="1"/>
  <c r="AN26" i="4"/>
  <c r="AN61" i="4" s="1"/>
  <c r="AM60" i="4"/>
  <c r="AM50" i="4"/>
  <c r="AN60" i="4" l="1"/>
  <c r="AN50" i="4"/>
  <c r="AO26" i="4"/>
  <c r="AO61" i="4" s="1"/>
  <c r="AO60" i="4" l="1"/>
  <c r="AO50" i="4"/>
  <c r="AP26" i="4" l="1"/>
  <c r="AP61" i="4" s="1"/>
  <c r="AQ22" i="4"/>
  <c r="AQ26" i="4" l="1"/>
  <c r="AS26" i="4" s="1"/>
  <c r="AS22" i="4"/>
  <c r="AP60" i="4"/>
  <c r="AP50" i="4"/>
  <c r="AQ61" i="4" l="1"/>
  <c r="AQ60" i="4"/>
  <c r="AQ50" i="4"/>
  <c r="E26" i="4" l="1"/>
  <c r="E60" i="4" s="1"/>
  <c r="O60" i="4" s="1"/>
  <c r="AS60" i="4" s="1"/>
  <c r="E50" i="4" l="1"/>
  <c r="O50" i="4" s="1"/>
  <c r="AS50" i="4" s="1"/>
  <c r="E61" i="4"/>
  <c r="O61" i="4" s="1"/>
  <c r="AS61" i="4" s="1"/>
  <c r="W57" i="4" l="1"/>
  <c r="AI57" i="4" l="1"/>
  <c r="U49" i="4"/>
  <c r="M57" i="4"/>
  <c r="T49" i="4"/>
  <c r="AP49" i="4"/>
  <c r="I57" i="4"/>
  <c r="K57" i="4"/>
  <c r="D49" i="4"/>
  <c r="N49" i="4"/>
  <c r="L49" i="4"/>
  <c r="G57" i="4"/>
  <c r="X49" i="4"/>
  <c r="AA49" i="4"/>
  <c r="V49" i="4"/>
  <c r="AE57" i="4"/>
  <c r="AM57" i="4"/>
  <c r="Y57" i="4"/>
  <c r="S57" i="4"/>
  <c r="AO57" i="4"/>
  <c r="W49" i="4"/>
  <c r="H57" i="4"/>
  <c r="AL49" i="4"/>
  <c r="E57" i="4"/>
  <c r="AB49" i="4"/>
  <c r="R57" i="4"/>
  <c r="F57" i="4"/>
  <c r="AK57" i="4"/>
  <c r="AK49" i="4"/>
  <c r="AG57" i="4"/>
  <c r="AG49" i="4"/>
  <c r="C28" i="4"/>
  <c r="L57" i="4"/>
  <c r="AN57" i="4"/>
  <c r="AN49" i="4"/>
  <c r="D57" i="4"/>
  <c r="N57" i="4"/>
  <c r="AI49" i="4" l="1"/>
  <c r="X57" i="4"/>
  <c r="M49" i="4"/>
  <c r="T57" i="4"/>
  <c r="U57" i="4"/>
  <c r="AE49" i="4"/>
  <c r="I49" i="4"/>
  <c r="AL57" i="4"/>
  <c r="AA57" i="4"/>
  <c r="AP57" i="4"/>
  <c r="V57" i="4"/>
  <c r="K49" i="4"/>
  <c r="E49" i="4"/>
  <c r="J49" i="4"/>
  <c r="H49" i="4"/>
  <c r="S49" i="4"/>
  <c r="AO49" i="4"/>
  <c r="AM49" i="4"/>
  <c r="R49" i="4"/>
  <c r="Y49" i="4"/>
  <c r="F49" i="4"/>
  <c r="O39" i="4"/>
  <c r="P39" i="4" s="1"/>
  <c r="F33" i="7" s="1"/>
  <c r="D33" i="7" s="1"/>
  <c r="J57" i="4"/>
  <c r="AB57" i="4"/>
  <c r="O41" i="4"/>
  <c r="P41" i="4" s="1"/>
  <c r="F35" i="7" s="1"/>
  <c r="D35" i="7" s="1"/>
  <c r="AQ41" i="4"/>
  <c r="AR41" i="4" s="1"/>
  <c r="AC41" i="4"/>
  <c r="AD41" i="4" s="1"/>
  <c r="AQ39" i="4"/>
  <c r="AR39" i="4" s="1"/>
  <c r="AH49" i="4"/>
  <c r="AH57" i="4"/>
  <c r="AC47" i="4"/>
  <c r="AD47" i="4" s="1"/>
  <c r="Q57" i="4"/>
  <c r="AF57" i="4"/>
  <c r="AQ47" i="4"/>
  <c r="AR47" i="4" s="1"/>
  <c r="AC39" i="4"/>
  <c r="AD39" i="4" s="1"/>
  <c r="O47" i="4"/>
  <c r="C57" i="4"/>
  <c r="AJ57" i="4"/>
  <c r="AJ49" i="4"/>
  <c r="Z49" i="4"/>
  <c r="Z57" i="4"/>
  <c r="AQ48" i="4"/>
  <c r="AR48" i="4" s="1"/>
  <c r="AC48" i="4"/>
  <c r="AD48" i="4" s="1"/>
  <c r="D28" i="4"/>
  <c r="G49" i="4" l="1"/>
  <c r="AS41" i="4"/>
  <c r="AS39" i="4"/>
  <c r="C44" i="4"/>
  <c r="O57" i="4"/>
  <c r="AF49" i="4"/>
  <c r="Q49" i="4"/>
  <c r="P47" i="4"/>
  <c r="AS47" i="4"/>
  <c r="AQ57" i="4"/>
  <c r="AR57" i="4" s="1"/>
  <c r="AC57" i="4"/>
  <c r="AD57" i="4" s="1"/>
  <c r="E28" i="4"/>
  <c r="C51" i="4" l="1"/>
  <c r="C58" i="4"/>
  <c r="O48" i="4"/>
  <c r="AS48" i="4" s="1"/>
  <c r="C49" i="4"/>
  <c r="O49" i="4" s="1"/>
  <c r="D44" i="4"/>
  <c r="D58" i="4" s="1"/>
  <c r="F28" i="4"/>
  <c r="AC49" i="4"/>
  <c r="AD49" i="4" s="1"/>
  <c r="AQ49" i="4"/>
  <c r="AR49" i="4" s="1"/>
  <c r="AS57" i="4"/>
  <c r="P57" i="4"/>
  <c r="C53" i="4" l="1"/>
  <c r="C69" i="4" s="1"/>
  <c r="P48" i="4"/>
  <c r="D51" i="4"/>
  <c r="D59" i="4"/>
  <c r="P49" i="4"/>
  <c r="AS49" i="4"/>
  <c r="E44" i="4"/>
  <c r="E58" i="4" s="1"/>
  <c r="G28" i="4"/>
  <c r="C59" i="4"/>
  <c r="C52" i="4"/>
  <c r="C80" i="4" l="1"/>
  <c r="E51" i="4"/>
  <c r="C54" i="4"/>
  <c r="C79" i="4" s="1"/>
  <c r="H28" i="4"/>
  <c r="C70" i="4"/>
  <c r="C71" i="4"/>
  <c r="C72" i="4" s="1"/>
  <c r="D52" i="4"/>
  <c r="D53" i="4"/>
  <c r="C63" i="4"/>
  <c r="D62" i="4" s="1"/>
  <c r="D63" i="4" s="1"/>
  <c r="E62" i="4" s="1"/>
  <c r="F44" i="4"/>
  <c r="F58" i="4" s="1"/>
  <c r="F51" i="4" l="1"/>
  <c r="F59" i="4"/>
  <c r="E53" i="4"/>
  <c r="E52" i="4"/>
  <c r="D80" i="4"/>
  <c r="D69" i="4"/>
  <c r="D71" i="4" s="1"/>
  <c r="D72" i="4" s="1"/>
  <c r="I28" i="4"/>
  <c r="E59" i="4"/>
  <c r="D54" i="4"/>
  <c r="D79" i="4" s="1"/>
  <c r="G44" i="4"/>
  <c r="G58" i="4" s="1"/>
  <c r="G51" i="4" l="1"/>
  <c r="D70" i="4"/>
  <c r="F53" i="4"/>
  <c r="F52" i="4"/>
  <c r="H44" i="4"/>
  <c r="H58" i="4" s="1"/>
  <c r="E80" i="4"/>
  <c r="E69" i="4"/>
  <c r="E71" i="4" s="1"/>
  <c r="E72" i="4" s="1"/>
  <c r="E63" i="4"/>
  <c r="F62" i="4" s="1"/>
  <c r="F63" i="4" s="1"/>
  <c r="G62" i="4" s="1"/>
  <c r="J28" i="4"/>
  <c r="E54" i="4"/>
  <c r="E79" i="4" s="1"/>
  <c r="H51" i="4" l="1"/>
  <c r="H59" i="4"/>
  <c r="G52" i="4"/>
  <c r="G53" i="4"/>
  <c r="K28" i="4"/>
  <c r="F54" i="4"/>
  <c r="F79" i="4" s="1"/>
  <c r="E70" i="4"/>
  <c r="G59" i="4"/>
  <c r="I44" i="4"/>
  <c r="I58" i="4" s="1"/>
  <c r="F80" i="4"/>
  <c r="F69" i="4"/>
  <c r="F71" i="4" s="1"/>
  <c r="F72" i="4" s="1"/>
  <c r="I51" i="4" l="1"/>
  <c r="F70" i="4"/>
  <c r="G63" i="4"/>
  <c r="H62" i="4" s="1"/>
  <c r="H63" i="4" s="1"/>
  <c r="I62" i="4" s="1"/>
  <c r="H53" i="4"/>
  <c r="H52" i="4"/>
  <c r="G80" i="4"/>
  <c r="G69" i="4"/>
  <c r="G71" i="4" s="1"/>
  <c r="G72" i="4" s="1"/>
  <c r="L28" i="4"/>
  <c r="J44" i="4"/>
  <c r="J58" i="4" s="1"/>
  <c r="G54" i="4"/>
  <c r="G79" i="4" s="1"/>
  <c r="J51" i="4" l="1"/>
  <c r="J59" i="4"/>
  <c r="M28" i="4"/>
  <c r="H54" i="4"/>
  <c r="H79" i="4" s="1"/>
  <c r="G70" i="4"/>
  <c r="I59" i="4"/>
  <c r="I53" i="4"/>
  <c r="I52" i="4"/>
  <c r="K44" i="4"/>
  <c r="K58" i="4" s="1"/>
  <c r="H69" i="4"/>
  <c r="H71" i="4" s="1"/>
  <c r="H72" i="4" s="1"/>
  <c r="H80" i="4"/>
  <c r="K51" i="4" l="1"/>
  <c r="I80" i="4"/>
  <c r="I69" i="4"/>
  <c r="I71" i="4" s="1"/>
  <c r="I72" i="4" s="1"/>
  <c r="H70" i="4"/>
  <c r="I63" i="4"/>
  <c r="J62" i="4" s="1"/>
  <c r="J63" i="4" s="1"/>
  <c r="K62" i="4" s="1"/>
  <c r="N28" i="4"/>
  <c r="J53" i="4"/>
  <c r="J52" i="4"/>
  <c r="L44" i="4"/>
  <c r="L58" i="4" s="1"/>
  <c r="I54" i="4"/>
  <c r="I79" i="4" s="1"/>
  <c r="L51" i="4" l="1"/>
  <c r="L59" i="4"/>
  <c r="K59" i="4"/>
  <c r="J54" i="4"/>
  <c r="J79" i="4" s="1"/>
  <c r="O40" i="4"/>
  <c r="Q28" i="4"/>
  <c r="M44" i="4"/>
  <c r="M58" i="4" s="1"/>
  <c r="K53" i="4"/>
  <c r="K52" i="4"/>
  <c r="J69" i="4"/>
  <c r="J71" i="4" s="1"/>
  <c r="J72" i="4" s="1"/>
  <c r="J80" i="4"/>
  <c r="I70" i="4"/>
  <c r="M51" i="4" l="1"/>
  <c r="M59" i="4"/>
  <c r="J70" i="4"/>
  <c r="N44" i="4"/>
  <c r="N58" i="4" s="1"/>
  <c r="O31" i="4"/>
  <c r="K63" i="4"/>
  <c r="L62" i="4" s="1"/>
  <c r="L63" i="4" s="1"/>
  <c r="M62" i="4" s="1"/>
  <c r="P40" i="4"/>
  <c r="F34" i="7" s="1"/>
  <c r="D34" i="7" s="1"/>
  <c r="L52" i="4"/>
  <c r="L53" i="4"/>
  <c r="K80" i="4"/>
  <c r="K69" i="4"/>
  <c r="K71" i="4" s="1"/>
  <c r="K72" i="4" s="1"/>
  <c r="K54" i="4"/>
  <c r="K79" i="4" s="1"/>
  <c r="R28" i="4"/>
  <c r="N51" i="4" l="1"/>
  <c r="M63" i="4"/>
  <c r="N62" i="4" s="1"/>
  <c r="K70" i="4"/>
  <c r="S28" i="4"/>
  <c r="O44" i="4"/>
  <c r="P31" i="4"/>
  <c r="M52" i="4"/>
  <c r="M53" i="4"/>
  <c r="Q44" i="4"/>
  <c r="Q58" i="4" s="1"/>
  <c r="L80" i="4"/>
  <c r="L69" i="4"/>
  <c r="L71" i="4" s="1"/>
  <c r="L72" i="4" s="1"/>
  <c r="L54" i="4"/>
  <c r="L79" i="4" s="1"/>
  <c r="Q51" i="4" l="1"/>
  <c r="M54" i="4"/>
  <c r="M79" i="4" s="1"/>
  <c r="L70" i="4"/>
  <c r="N59" i="4"/>
  <c r="O58" i="4"/>
  <c r="P44" i="4"/>
  <c r="F25" i="7"/>
  <c r="N52" i="4"/>
  <c r="N53" i="4"/>
  <c r="O51" i="4"/>
  <c r="T28" i="4"/>
  <c r="R44" i="4"/>
  <c r="R58" i="4" s="1"/>
  <c r="M69" i="4"/>
  <c r="M71" i="4" s="1"/>
  <c r="M72" i="4" s="1"/>
  <c r="M80" i="4"/>
  <c r="F38" i="7" l="1"/>
  <c r="D25" i="7"/>
  <c r="D38" i="7" s="1"/>
  <c r="R51" i="4"/>
  <c r="R59" i="4"/>
  <c r="Q59" i="4"/>
  <c r="N80" i="4"/>
  <c r="N69" i="4"/>
  <c r="N71" i="4" s="1"/>
  <c r="N72" i="4" s="1"/>
  <c r="O53" i="4"/>
  <c r="P53" i="4" s="1"/>
  <c r="N54" i="4"/>
  <c r="O52" i="4"/>
  <c r="S44" i="4"/>
  <c r="S58" i="4" s="1"/>
  <c r="M70" i="4"/>
  <c r="N63" i="4"/>
  <c r="O59" i="4"/>
  <c r="U28" i="4"/>
  <c r="P58" i="4"/>
  <c r="Q52" i="4"/>
  <c r="Q53" i="4"/>
  <c r="P51" i="4"/>
  <c r="S51" i="4" l="1"/>
  <c r="S59" i="4"/>
  <c r="N70" i="4"/>
  <c r="O63" i="4"/>
  <c r="Q62" i="4"/>
  <c r="AC62" i="4" s="1"/>
  <c r="P52" i="4"/>
  <c r="Q80" i="4"/>
  <c r="Q69" i="4"/>
  <c r="Q71" i="4" s="1"/>
  <c r="Q72" i="4" s="1"/>
  <c r="D41" i="7"/>
  <c r="G41" i="7"/>
  <c r="K1" i="7" s="1"/>
  <c r="R53" i="4"/>
  <c r="R52" i="4"/>
  <c r="V28" i="4"/>
  <c r="T44" i="4"/>
  <c r="T58" i="4" s="1"/>
  <c r="O54" i="4"/>
  <c r="N79" i="4"/>
  <c r="Q54" i="4"/>
  <c r="Q79" i="4" s="1"/>
  <c r="P59" i="4"/>
  <c r="J1" i="7" l="1"/>
  <c r="T51" i="4"/>
  <c r="T59" i="4"/>
  <c r="Q63" i="4"/>
  <c r="R62" i="4" s="1"/>
  <c r="R63" i="4" s="1"/>
  <c r="S62" i="4" s="1"/>
  <c r="S63" i="4" s="1"/>
  <c r="T62" i="4" s="1"/>
  <c r="W28" i="4"/>
  <c r="R80" i="4"/>
  <c r="R69" i="4"/>
  <c r="R71" i="4" s="1"/>
  <c r="R72" i="4" s="1"/>
  <c r="R54" i="4"/>
  <c r="R79" i="4" s="1"/>
  <c r="S53" i="4"/>
  <c r="S52" i="4"/>
  <c r="U44" i="4"/>
  <c r="U58" i="4" s="1"/>
  <c r="Q70" i="4"/>
  <c r="U51" i="4" l="1"/>
  <c r="S54" i="4"/>
  <c r="S79" i="4" s="1"/>
  <c r="T63" i="4"/>
  <c r="U62" i="4" s="1"/>
  <c r="X28" i="4"/>
  <c r="T52" i="4"/>
  <c r="T53" i="4"/>
  <c r="S80" i="4"/>
  <c r="S69" i="4"/>
  <c r="S71" i="4" s="1"/>
  <c r="S72" i="4" s="1"/>
  <c r="R70" i="4"/>
  <c r="V44" i="4"/>
  <c r="V58" i="4" s="1"/>
  <c r="V51" i="4" l="1"/>
  <c r="V59" i="4"/>
  <c r="S70" i="4"/>
  <c r="T54" i="4"/>
  <c r="T79" i="4" s="1"/>
  <c r="W44" i="4"/>
  <c r="W58" i="4" s="1"/>
  <c r="T69" i="4"/>
  <c r="T71" i="4" s="1"/>
  <c r="T72" i="4" s="1"/>
  <c r="T80" i="4"/>
  <c r="U59" i="4"/>
  <c r="U53" i="4"/>
  <c r="U52" i="4"/>
  <c r="Y28" i="4"/>
  <c r="W51" i="4" l="1"/>
  <c r="W59" i="4"/>
  <c r="U54" i="4"/>
  <c r="U79" i="4" s="1"/>
  <c r="T70" i="4"/>
  <c r="X44" i="4"/>
  <c r="X58" i="4" s="1"/>
  <c r="U69" i="4"/>
  <c r="U71" i="4" s="1"/>
  <c r="U72" i="4" s="1"/>
  <c r="U80" i="4"/>
  <c r="U63" i="4"/>
  <c r="V62" i="4" s="1"/>
  <c r="V63" i="4" s="1"/>
  <c r="W62" i="4" s="1"/>
  <c r="Z28" i="4"/>
  <c r="V53" i="4"/>
  <c r="V52" i="4"/>
  <c r="X51" i="4" l="1"/>
  <c r="X59" i="4"/>
  <c r="V80" i="4"/>
  <c r="V69" i="4"/>
  <c r="V71" i="4" s="1"/>
  <c r="V72" i="4" s="1"/>
  <c r="W53" i="4"/>
  <c r="W52" i="4"/>
  <c r="W63" i="4"/>
  <c r="X62" i="4" s="1"/>
  <c r="AA28" i="4"/>
  <c r="V54" i="4"/>
  <c r="V79" i="4" s="1"/>
  <c r="Y44" i="4"/>
  <c r="Y58" i="4" s="1"/>
  <c r="U70" i="4"/>
  <c r="Y51" i="4" l="1"/>
  <c r="Y59" i="4"/>
  <c r="V70" i="4"/>
  <c r="W80" i="4"/>
  <c r="W69" i="4"/>
  <c r="W71" i="4" s="1"/>
  <c r="W72" i="4" s="1"/>
  <c r="AB28" i="4"/>
  <c r="X53" i="4"/>
  <c r="X52" i="4"/>
  <c r="X63" i="4"/>
  <c r="Y62" i="4" s="1"/>
  <c r="Z44" i="4"/>
  <c r="Z58" i="4" s="1"/>
  <c r="W54" i="4"/>
  <c r="W79" i="4" s="1"/>
  <c r="Z51" i="4" l="1"/>
  <c r="Z59" i="4"/>
  <c r="W70" i="4"/>
  <c r="Y63" i="4"/>
  <c r="Z62" i="4" s="1"/>
  <c r="X80" i="4"/>
  <c r="X69" i="4"/>
  <c r="X71" i="4" s="1"/>
  <c r="X72" i="4" s="1"/>
  <c r="AC40" i="4"/>
  <c r="AE28" i="4"/>
  <c r="Y53" i="4"/>
  <c r="Y52" i="4"/>
  <c r="X54" i="4"/>
  <c r="X79" i="4" s="1"/>
  <c r="AA44" i="4"/>
  <c r="AA58" i="4" s="1"/>
  <c r="AA51" i="4" l="1"/>
  <c r="AA59" i="4"/>
  <c r="Z63" i="4"/>
  <c r="AA62" i="4" s="1"/>
  <c r="X70" i="4"/>
  <c r="AD40" i="4"/>
  <c r="Z53" i="4"/>
  <c r="Z52" i="4"/>
  <c r="AB44" i="4"/>
  <c r="AB58" i="4" s="1"/>
  <c r="AC31" i="4"/>
  <c r="Y54" i="4"/>
  <c r="Y79" i="4" s="1"/>
  <c r="Y80" i="4"/>
  <c r="Y69" i="4"/>
  <c r="Y71" i="4" s="1"/>
  <c r="Y72" i="4" s="1"/>
  <c r="AF28" i="4"/>
  <c r="AB51" i="4" l="1"/>
  <c r="AA63" i="4"/>
  <c r="AB62" i="4" s="1"/>
  <c r="AC44" i="4"/>
  <c r="AD31" i="4"/>
  <c r="AD44" i="4" s="1"/>
  <c r="Z69" i="4"/>
  <c r="Z71" i="4" s="1"/>
  <c r="Z72" i="4" s="1"/>
  <c r="Z80" i="4"/>
  <c r="AE44" i="4"/>
  <c r="AE58" i="4" s="1"/>
  <c r="AA52" i="4"/>
  <c r="AA53" i="4"/>
  <c r="AG28" i="4"/>
  <c r="Y70" i="4"/>
  <c r="Z54" i="4"/>
  <c r="Z79" i="4" s="1"/>
  <c r="AE51" i="4" l="1"/>
  <c r="Z70" i="4"/>
  <c r="AF44" i="4"/>
  <c r="AF58" i="4" s="1"/>
  <c r="AA54" i="4"/>
  <c r="AA79" i="4" s="1"/>
  <c r="AA69" i="4"/>
  <c r="AA71" i="4" s="1"/>
  <c r="AA72" i="4" s="1"/>
  <c r="AA80" i="4"/>
  <c r="AB52" i="4"/>
  <c r="AB53" i="4"/>
  <c r="AC51" i="4"/>
  <c r="AH28" i="4"/>
  <c r="AB59" i="4"/>
  <c r="AC58" i="4"/>
  <c r="AF51" i="4" l="1"/>
  <c r="AF59" i="4"/>
  <c r="AA70" i="4"/>
  <c r="AD58" i="4"/>
  <c r="AG44" i="4"/>
  <c r="AG58" i="4" s="1"/>
  <c r="AB54" i="4"/>
  <c r="AC52" i="4"/>
  <c r="AB63" i="4"/>
  <c r="AC59" i="4"/>
  <c r="AD51" i="4"/>
  <c r="AE59" i="4"/>
  <c r="AI28" i="4"/>
  <c r="AB80" i="4"/>
  <c r="AB69" i="4"/>
  <c r="AB71" i="4" s="1"/>
  <c r="AB72" i="4" s="1"/>
  <c r="AC53" i="4"/>
  <c r="AD53" i="4" s="1"/>
  <c r="AE53" i="4"/>
  <c r="AE52" i="4"/>
  <c r="AG51" i="4" l="1"/>
  <c r="AJ28" i="4"/>
  <c r="AD52" i="4"/>
  <c r="D43" i="7"/>
  <c r="J2" i="7" s="1"/>
  <c r="G43" i="7"/>
  <c r="K2" i="7" s="1"/>
  <c r="AF53" i="4"/>
  <c r="AF52" i="4"/>
  <c r="AE54" i="4"/>
  <c r="AE79" i="4" s="1"/>
  <c r="AC63" i="4"/>
  <c r="AE62" i="4"/>
  <c r="AQ62" i="4" s="1"/>
  <c r="AH44" i="4"/>
  <c r="AH58" i="4" s="1"/>
  <c r="AB79" i="4"/>
  <c r="AC54" i="4"/>
  <c r="AE80" i="4"/>
  <c r="AE69" i="4"/>
  <c r="AE71" i="4" s="1"/>
  <c r="AE72" i="4" s="1"/>
  <c r="AD59" i="4"/>
  <c r="AB70" i="4"/>
  <c r="AH51" i="4" l="1"/>
  <c r="AH59" i="4"/>
  <c r="AE63" i="4"/>
  <c r="AF62" i="4" s="1"/>
  <c r="AF63" i="4" s="1"/>
  <c r="AG62" i="4" s="1"/>
  <c r="AE70" i="4"/>
  <c r="AI44" i="4"/>
  <c r="AI58" i="4" s="1"/>
  <c r="AF54" i="4"/>
  <c r="AF79" i="4" s="1"/>
  <c r="AG53" i="4"/>
  <c r="AG52" i="4"/>
  <c r="AK28" i="4"/>
  <c r="AG59" i="4"/>
  <c r="AF69" i="4"/>
  <c r="AF71" i="4" s="1"/>
  <c r="AF72" i="4" s="1"/>
  <c r="AF80" i="4"/>
  <c r="AI51" i="4" l="1"/>
  <c r="AJ44" i="4"/>
  <c r="AJ58" i="4" s="1"/>
  <c r="AG54" i="4"/>
  <c r="AG79" i="4" s="1"/>
  <c r="AG63" i="4"/>
  <c r="AH62" i="4" s="1"/>
  <c r="AH63" i="4" s="1"/>
  <c r="AI62" i="4" s="1"/>
  <c r="AF70" i="4"/>
  <c r="AH53" i="4"/>
  <c r="AH52" i="4"/>
  <c r="AG80" i="4"/>
  <c r="AG69" i="4"/>
  <c r="AG71" i="4" s="1"/>
  <c r="AG72" i="4" s="1"/>
  <c r="AL28" i="4"/>
  <c r="AJ51" i="4" l="1"/>
  <c r="AJ59" i="4"/>
  <c r="AH69" i="4"/>
  <c r="AH71" i="4" s="1"/>
  <c r="AH72" i="4" s="1"/>
  <c r="AH80" i="4"/>
  <c r="AI52" i="4"/>
  <c r="AI53" i="4"/>
  <c r="AM28" i="4"/>
  <c r="AG70" i="4"/>
  <c r="AK44" i="4"/>
  <c r="AK58" i="4" s="1"/>
  <c r="AH54" i="4"/>
  <c r="AH79" i="4" s="1"/>
  <c r="AI59" i="4"/>
  <c r="AK51" i="4" l="1"/>
  <c r="AI54" i="4"/>
  <c r="AI79" i="4" s="1"/>
  <c r="AL44" i="4"/>
  <c r="AL58" i="4" s="1"/>
  <c r="AN28" i="4"/>
  <c r="AI63" i="4"/>
  <c r="AJ62" i="4" s="1"/>
  <c r="AJ63" i="4" s="1"/>
  <c r="AK62" i="4" s="1"/>
  <c r="AJ52" i="4"/>
  <c r="AJ53" i="4"/>
  <c r="AH70" i="4"/>
  <c r="AI80" i="4"/>
  <c r="AI69" i="4"/>
  <c r="AI71" i="4" s="1"/>
  <c r="AI72" i="4" s="1"/>
  <c r="AL51" i="4" l="1"/>
  <c r="AL59" i="4"/>
  <c r="AJ54" i="4"/>
  <c r="AJ79" i="4" s="1"/>
  <c r="AI70" i="4"/>
  <c r="AK59" i="4"/>
  <c r="AJ80" i="4"/>
  <c r="AJ69" i="4"/>
  <c r="AJ71" i="4" s="1"/>
  <c r="AJ72" i="4" s="1"/>
  <c r="AM44" i="4"/>
  <c r="AM58" i="4" s="1"/>
  <c r="AO28" i="4"/>
  <c r="AK52" i="4"/>
  <c r="AK53" i="4"/>
  <c r="AM51" i="4" l="1"/>
  <c r="AM59" i="4"/>
  <c r="AK80" i="4"/>
  <c r="AK69" i="4"/>
  <c r="AK71" i="4" s="1"/>
  <c r="AK72" i="4" s="1"/>
  <c r="AL52" i="4"/>
  <c r="AL53" i="4"/>
  <c r="AK54" i="4"/>
  <c r="AK79" i="4" s="1"/>
  <c r="AJ70" i="4"/>
  <c r="AN44" i="4"/>
  <c r="AN58" i="4" s="1"/>
  <c r="AK63" i="4"/>
  <c r="AL62" i="4" s="1"/>
  <c r="AL63" i="4" s="1"/>
  <c r="AM62" i="4" s="1"/>
  <c r="AP28" i="4"/>
  <c r="AK70" i="4" l="1"/>
  <c r="AN51" i="4"/>
  <c r="AN59" i="4"/>
  <c r="AL54" i="4"/>
  <c r="AL79" i="4" s="1"/>
  <c r="AO44" i="4"/>
  <c r="AO58" i="4" s="1"/>
  <c r="AM63" i="4"/>
  <c r="AN62" i="4" s="1"/>
  <c r="AL80" i="4"/>
  <c r="AL69" i="4"/>
  <c r="AL71" i="4" s="1"/>
  <c r="AL72" i="4" s="1"/>
  <c r="AQ40" i="4"/>
  <c r="AM53" i="4"/>
  <c r="AM52" i="4"/>
  <c r="AO51" i="4" l="1"/>
  <c r="AO59" i="4"/>
  <c r="AM54" i="4"/>
  <c r="AM79" i="4" s="1"/>
  <c r="AN63" i="4"/>
  <c r="AO62" i="4" s="1"/>
  <c r="AL70" i="4"/>
  <c r="AN53" i="4"/>
  <c r="AN52" i="4"/>
  <c r="AR40" i="4"/>
  <c r="AS40" i="4"/>
  <c r="AM80" i="4"/>
  <c r="AM69" i="4"/>
  <c r="AM71" i="4" s="1"/>
  <c r="AM72" i="4" s="1"/>
  <c r="AP44" i="4"/>
  <c r="AP58" i="4" s="1"/>
  <c r="AQ31" i="4"/>
  <c r="AP51" i="4" l="1"/>
  <c r="AM70" i="4"/>
  <c r="AN54" i="4"/>
  <c r="AN79" i="4" s="1"/>
  <c r="AO63" i="4"/>
  <c r="AP62" i="4" s="1"/>
  <c r="AR31" i="4"/>
  <c r="AR44" i="4" s="1"/>
  <c r="AQ44" i="4"/>
  <c r="AS31" i="4"/>
  <c r="AS44" i="4" s="1"/>
  <c r="AO53" i="4"/>
  <c r="AO52" i="4"/>
  <c r="AN80" i="4"/>
  <c r="AN69" i="4"/>
  <c r="AN71" i="4" s="1"/>
  <c r="AN72" i="4" s="1"/>
  <c r="AO54" i="4" l="1"/>
  <c r="AO79" i="4" s="1"/>
  <c r="AN70" i="4"/>
  <c r="AP52" i="4"/>
  <c r="AP53" i="4"/>
  <c r="AQ51" i="4"/>
  <c r="AO80" i="4"/>
  <c r="AO69" i="4"/>
  <c r="AO71" i="4" s="1"/>
  <c r="AO72" i="4" s="1"/>
  <c r="AP59" i="4"/>
  <c r="AQ58" i="4"/>
  <c r="AP54" i="4" l="1"/>
  <c r="AQ52" i="4"/>
  <c r="AO70" i="4"/>
  <c r="AP63" i="4"/>
  <c r="AQ63" i="4" s="1"/>
  <c r="AS63" i="4" s="1"/>
  <c r="AQ59" i="4"/>
  <c r="AP69" i="4"/>
  <c r="AP71" i="4" s="1"/>
  <c r="AP72" i="4" s="1"/>
  <c r="AP80" i="4"/>
  <c r="AS80" i="4" s="1"/>
  <c r="AQ53" i="4"/>
  <c r="AR53" i="4" s="1"/>
  <c r="AR58" i="4"/>
  <c r="AS58" i="4"/>
  <c r="AR51" i="4"/>
  <c r="AS51" i="4"/>
  <c r="AS82" i="4" l="1"/>
  <c r="AP70" i="4"/>
  <c r="B75" i="4"/>
  <c r="B74" i="4"/>
  <c r="AR52" i="4"/>
  <c r="AS52" i="4"/>
  <c r="AR59" i="4"/>
  <c r="AS59" i="4"/>
  <c r="AP79" i="4"/>
  <c r="AS79" i="4" s="1"/>
  <c r="AS81" i="4" s="1"/>
  <c r="AQ54" i="4"/>
  <c r="G45" i="7"/>
  <c r="K3" i="7" s="1"/>
  <c r="D45" i="7"/>
  <c r="J3" i="7" s="1"/>
  <c r="B77" i="4" l="1"/>
  <c r="D47" i="7" s="1"/>
  <c r="J4" i="7" s="1"/>
  <c r="B76" i="4"/>
  <c r="D1" i="4" s="1"/>
  <c r="D49" i="7" l="1"/>
  <c r="J5" i="7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Яна Мирская</author>
  </authors>
  <commentList>
    <comment ref="A52" authorId="0" shapeId="0" xr:uid="{24B7B550-0AAC-4301-978B-38E2461BFEDE}">
      <text>
        <r>
          <rPr>
            <b/>
            <sz val="9"/>
            <color indexed="81"/>
            <rFont val="Tahoma"/>
            <family val="2"/>
            <charset val="204"/>
          </rPr>
          <t>Выручка -  текущие затраты  - инвестиции , т.е. чистая прибыль - инвестиции</t>
        </r>
      </text>
    </comment>
    <comment ref="A53" authorId="0" shapeId="0" xr:uid="{F4B2F411-F4E1-4E8E-B26B-445188111C77}">
      <text>
        <r>
          <rPr>
            <b/>
            <sz val="9"/>
            <color indexed="81"/>
            <rFont val="Tahoma"/>
            <family val="2"/>
            <charset val="204"/>
          </rPr>
          <t>Выручка -  текущие затраты = чистая прибыль</t>
        </r>
      </text>
    </comment>
    <comment ref="A54" authorId="0" shapeId="0" xr:uid="{02DD58DB-1A27-4469-8446-F00FA5C677AC}">
      <text>
        <r>
          <rPr>
            <b/>
            <sz val="9"/>
            <color indexed="81"/>
            <rFont val="Tahoma"/>
            <family val="2"/>
            <charset val="204"/>
          </rPr>
          <t>Чистая прибыль суммарно за каждый месяц - инвестиции.
Показывает с какого месяца проект окупился.</t>
        </r>
      </text>
    </comment>
    <comment ref="A57" authorId="0" shapeId="0" xr:uid="{9A14C7FF-07A7-4DE6-AE24-869DBCB2856E}">
      <text>
        <r>
          <rPr>
            <b/>
            <sz val="9"/>
            <color indexed="81"/>
            <rFont val="Tahoma"/>
            <family val="2"/>
            <charset val="204"/>
          </rPr>
          <t>Выручка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8" authorId="0" shapeId="0" xr:uid="{D8685AF7-E2BF-42CF-A574-A0E5240C60F6}">
      <text>
        <r>
          <rPr>
            <b/>
            <sz val="9"/>
            <color indexed="81"/>
            <rFont val="Tahoma"/>
            <family val="2"/>
            <charset val="204"/>
          </rPr>
          <t>текущие затраты</t>
        </r>
      </text>
    </comment>
    <comment ref="A59" authorId="0" shapeId="0" xr:uid="{583E2909-0E63-4DEB-A60F-0D944E8FB106}">
      <text>
        <r>
          <rPr>
            <b/>
            <sz val="9"/>
            <color indexed="81"/>
            <rFont val="Tahoma"/>
            <family val="2"/>
            <charset val="204"/>
          </rPr>
          <t>чистая прибыль</t>
        </r>
      </text>
    </comment>
    <comment ref="A60" authorId="0" shapeId="0" xr:uid="{95EE7183-187C-4FC5-88EC-C98BAA2F0142}">
      <text>
        <r>
          <rPr>
            <b/>
            <sz val="9"/>
            <color indexed="81"/>
            <rFont val="Tahoma"/>
            <family val="2"/>
            <charset val="204"/>
          </rPr>
          <t>инвестиции</t>
        </r>
      </text>
    </comment>
    <comment ref="A61" authorId="0" shapeId="0" xr:uid="{CDBD52B2-DD49-497E-9578-AC89EC35E65D}">
      <text>
        <r>
          <rPr>
            <b/>
            <sz val="9"/>
            <color indexed="81"/>
            <rFont val="Tahoma"/>
            <family val="2"/>
            <charset val="204"/>
          </rPr>
          <t>привлечение средств для осуществления инвестиций</t>
        </r>
      </text>
    </comment>
    <comment ref="A62" authorId="0" shapeId="0" xr:uid="{7395C29F-0F11-4A6B-97F7-5EA511C110E2}">
      <text>
        <r>
          <rPr>
            <b/>
            <sz val="9"/>
            <color indexed="81"/>
            <rFont val="Tahoma"/>
            <family val="2"/>
            <charset val="204"/>
          </rPr>
          <t>Деньги на начало месяца (накопленная чистая прибыль за прошлые месяцы)</t>
        </r>
      </text>
    </comment>
    <comment ref="A63" authorId="0" shapeId="0" xr:uid="{FFF5FB8B-F4EA-408B-BC06-371FD91F01D6}">
      <text>
        <r>
          <rPr>
            <b/>
            <sz val="9"/>
            <color indexed="81"/>
            <rFont val="Tahoma"/>
            <family val="2"/>
            <charset val="204"/>
          </rPr>
          <t>Деньги на конец месяца (накопленная чистая прибыль за прошлые месяцы с учетом текущего месяца)</t>
        </r>
      </text>
    </comment>
    <comment ref="A67" authorId="0" shapeId="0" xr:uid="{1653C1A5-7888-4B53-A28B-954507B5F795}">
      <text>
        <r>
          <rPr>
            <b/>
            <sz val="9"/>
            <color indexed="81"/>
            <rFont val="Tahoma"/>
            <family val="2"/>
            <charset val="204"/>
          </rPr>
          <t>коэффициент обесценивания денег</t>
        </r>
      </text>
    </comment>
    <comment ref="A69" authorId="0" shapeId="0" xr:uid="{F16484C2-A4FA-4FB3-993A-F199F11B1F98}">
      <text>
        <r>
          <rPr>
            <b/>
            <sz val="9"/>
            <color indexed="81"/>
            <rFont val="Tahoma"/>
            <family val="2"/>
            <charset val="204"/>
          </rPr>
          <t>чистая прибыль помесячно</t>
        </r>
      </text>
    </comment>
    <comment ref="A70" authorId="0" shapeId="0" xr:uid="{BB94159C-B5F7-4F75-BF2C-D67633786CCE}">
      <text>
        <r>
          <rPr>
            <b/>
            <sz val="9"/>
            <color indexed="81"/>
            <rFont val="Tahoma"/>
            <family val="2"/>
            <charset val="204"/>
          </rPr>
          <t>чистая прибыль суммарно за каждый месяц</t>
        </r>
      </text>
    </comment>
    <comment ref="A71" authorId="0" shapeId="0" xr:uid="{E44F176C-3DDF-4E0D-A726-C6D4C142AF9B}">
      <text>
        <r>
          <rPr>
            <b/>
            <sz val="9"/>
            <color indexed="81"/>
            <rFont val="Tahoma"/>
            <family val="2"/>
            <charset val="204"/>
          </rPr>
          <t>чистая прибыль помесячно с учетом применения дисконтрования (обесценивания денег)</t>
        </r>
      </text>
    </comment>
    <comment ref="A72" authorId="0" shapeId="0" xr:uid="{FA469599-B311-47D9-BBB3-DA3F015F09E9}">
      <text>
        <r>
          <rPr>
            <b/>
            <sz val="9"/>
            <color indexed="81"/>
            <rFont val="Tahoma"/>
            <family val="2"/>
            <charset val="204"/>
          </rPr>
          <t>чистая прибыль суммарно за каждый месяц  с учетом применения дисконтрования (обесценивания денег)</t>
        </r>
      </text>
    </comment>
    <comment ref="A74" authorId="0" shapeId="0" xr:uid="{57BEF8F9-08C6-4F77-8C52-27A8ACCACA49}">
      <text>
        <r>
          <rPr>
            <b/>
            <sz val="9"/>
            <color indexed="81"/>
            <rFont val="Tahoma"/>
            <family val="2"/>
            <charset val="204"/>
          </rPr>
          <t>Дисконтированная чистая прибыль суммарно за 3 года - инвестиции</t>
        </r>
      </text>
    </comment>
    <comment ref="A75" authorId="0" shapeId="0" xr:uid="{25DAA6AE-F2FA-4F6C-837C-F10DA2968DAD}">
      <text>
        <r>
          <rPr>
            <b/>
            <sz val="9"/>
            <color indexed="81"/>
            <rFont val="Tahoma"/>
            <family val="2"/>
            <charset val="204"/>
          </rPr>
          <t>Во сколько раз дисконтированная чистая прибыль суммарно за 3 года превышает инвестиции. Должен быль больше 1</t>
        </r>
      </text>
    </comment>
    <comment ref="A76" authorId="0" shapeId="0" xr:uid="{AFE05D10-8360-4EC8-880D-6BFABE426C42}">
      <text>
        <r>
          <rPr>
            <b/>
            <sz val="9"/>
            <color indexed="81"/>
            <rFont val="Tahoma"/>
            <family val="2"/>
            <charset val="204"/>
          </rPr>
          <t xml:space="preserve">Количество месяцев, за которые накопленная (суммарная) чистая прибыль превысит размер инвестиций </t>
        </r>
      </text>
    </comment>
    <comment ref="A77" authorId="0" shapeId="0" xr:uid="{13BC99F4-F359-4B31-B7B2-DA10E03CE413}">
      <text>
        <r>
          <rPr>
            <b/>
            <sz val="9"/>
            <color indexed="81"/>
            <rFont val="Tahoma"/>
            <family val="2"/>
            <charset val="204"/>
          </rPr>
          <t>Количество месяцев, за которые появится чистая прибыль, т.е выручка - текущие затраты &gt;0</t>
        </r>
      </text>
    </comment>
  </commentList>
</comments>
</file>

<file path=xl/sharedStrings.xml><?xml version="1.0" encoding="utf-8"?>
<sst xmlns="http://schemas.openxmlformats.org/spreadsheetml/2006/main" count="167" uniqueCount="139">
  <si>
    <t>Итого:</t>
  </si>
  <si>
    <t>Текущие затраты</t>
  </si>
  <si>
    <t>Прочее</t>
  </si>
  <si>
    <t>Итого</t>
  </si>
  <si>
    <t>мес.</t>
  </si>
  <si>
    <t>Изменения можно вносить только в ячейки, окрашенные в серый цвет</t>
  </si>
  <si>
    <t>ЗАГРУЗКА</t>
  </si>
  <si>
    <t>ДИНАМИКА ПРОДАЖ</t>
  </si>
  <si>
    <t>ТЕКУЩИЕ ЗАТРАТЫ</t>
  </si>
  <si>
    <t>ИТОГО</t>
  </si>
  <si>
    <t>ОТЧЕТ О ПРИБЫЛЯХ И УБЫТКАХ</t>
  </si>
  <si>
    <t>Выручка</t>
  </si>
  <si>
    <t>Валовая прибыль</t>
  </si>
  <si>
    <t>ДВИЖЕНИЕ ДЕНЕЖНЫХ СРЕДСТВ (КЭШ-ФЛО)</t>
  </si>
  <si>
    <t>Поступления от основной деятельности</t>
  </si>
  <si>
    <t>Кэш-фло от оперативной деятельности</t>
  </si>
  <si>
    <t>Кэш-фло от инвестиционной деятельности</t>
  </si>
  <si>
    <t>Кэш-фло от финансовой деятельности</t>
  </si>
  <si>
    <t>Баланс наличности на начало периода</t>
  </si>
  <si>
    <t>Баланс наличности на конец периода</t>
  </si>
  <si>
    <t>ОКУПАЕМОСТЬ ПРОЕКТА</t>
  </si>
  <si>
    <t>Индекс прибыльности проекта (PI)</t>
  </si>
  <si>
    <t>Паушальный взнос</t>
  </si>
  <si>
    <t>Месяц, с которого начинается работа</t>
  </si>
  <si>
    <t>январь</t>
  </si>
  <si>
    <t>февраль</t>
  </si>
  <si>
    <t>июль</t>
  </si>
  <si>
    <t>август</t>
  </si>
  <si>
    <t>сентябрь</t>
  </si>
  <si>
    <t>октябрь</t>
  </si>
  <si>
    <t>ноябрь</t>
  </si>
  <si>
    <t>декабрь</t>
  </si>
  <si>
    <t>1-й год работы</t>
  </si>
  <si>
    <t>2-й год работы</t>
  </si>
  <si>
    <t>прибыль</t>
  </si>
  <si>
    <t>3-й год работы</t>
  </si>
  <si>
    <t>Итого за 1-й год</t>
  </si>
  <si>
    <t>Среднемесячно за 1-й год</t>
  </si>
  <si>
    <t>Среднемесячно за 2-й год</t>
  </si>
  <si>
    <t>Итого за 2-й год</t>
  </si>
  <si>
    <t>Итого за 3-й год</t>
  </si>
  <si>
    <t>Среднемесячно за 3-й год</t>
  </si>
  <si>
    <t>Итого за три года</t>
  </si>
  <si>
    <t>Ремонт помещения</t>
  </si>
  <si>
    <t>Зарплата персонала</t>
  </si>
  <si>
    <t>самоокупаемость</t>
  </si>
  <si>
    <t>Срок выхода на самоокупаемость проекта, мес.:</t>
  </si>
  <si>
    <t>Выход на самоокупаемость с</t>
  </si>
  <si>
    <t>Валюта, в которой производится расчет</t>
  </si>
  <si>
    <t>Финансовые параметры</t>
  </si>
  <si>
    <t>март</t>
  </si>
  <si>
    <t>апрель</t>
  </si>
  <si>
    <t>май</t>
  </si>
  <si>
    <t>Сигнализация (охранная и пожарная)</t>
  </si>
  <si>
    <t>Инвестиции в открытие</t>
  </si>
  <si>
    <t>Аренда</t>
  </si>
  <si>
    <t>Коммунальные платежи</t>
  </si>
  <si>
    <t>USD</t>
  </si>
  <si>
    <t>EUR</t>
  </si>
  <si>
    <t>RUB</t>
  </si>
  <si>
    <t>Рекламная кампания</t>
  </si>
  <si>
    <t>Персонал</t>
  </si>
  <si>
    <t>Должностные единицы</t>
  </si>
  <si>
    <t>Услуги связи и интернет</t>
  </si>
  <si>
    <t>Окупаемость инвестиций</t>
  </si>
  <si>
    <r>
      <rPr>
        <b/>
        <sz val="8"/>
        <rFont val="Arial Cyr"/>
        <charset val="204"/>
      </rPr>
      <t xml:space="preserve">Чистая прибыль </t>
    </r>
    <r>
      <rPr>
        <b/>
        <sz val="8"/>
        <color rgb="FFFF0000"/>
        <rFont val="Arial Cyr"/>
        <family val="2"/>
        <charset val="204"/>
      </rPr>
      <t>(убыток)</t>
    </r>
    <r>
      <rPr>
        <b/>
        <sz val="8"/>
        <rFont val="Arial Cyr"/>
        <charset val="204"/>
      </rPr>
      <t xml:space="preserve"> без учета инвестиций</t>
    </r>
  </si>
  <si>
    <t>общая выручка</t>
  </si>
  <si>
    <t>Удельный вес в объеме выручки за 1-й год работы</t>
  </si>
  <si>
    <t>Налоги</t>
  </si>
  <si>
    <t>июнь</t>
  </si>
  <si>
    <t>Выход продаж на плановые показатели и дальнейший рост объемов*</t>
  </si>
  <si>
    <t>Рост арендной платы*</t>
  </si>
  <si>
    <t xml:space="preserve"> * - по сравнения с данными, указанными на странице "Исходные данные".</t>
  </si>
  <si>
    <t>Среднемесячная сумма затрат за 1-й год работы</t>
  </si>
  <si>
    <t>ИНВЕСТИЦИИ</t>
  </si>
  <si>
    <t>Базовый размер бонуса, % от базы начисления*</t>
  </si>
  <si>
    <t xml:space="preserve"> * - База начисления бонуса</t>
  </si>
  <si>
    <t>Среднемесячная сумма затрат</t>
  </si>
  <si>
    <t>Банковское обслуживание</t>
  </si>
  <si>
    <t>Процент выхода продаж на плановые показатели*, %</t>
  </si>
  <si>
    <t>Рост арендной платы**, %</t>
  </si>
  <si>
    <t>Порядковый месяц от начала работы</t>
  </si>
  <si>
    <t>Коэффициент дисконтирования, % годовых</t>
  </si>
  <si>
    <t>Рентабельность (чистая прибыль/выручка), %</t>
  </si>
  <si>
    <r>
      <rPr>
        <b/>
        <sz val="8"/>
        <rFont val="Arial Cyr"/>
        <charset val="204"/>
      </rPr>
      <t xml:space="preserve">Чистая прибыль </t>
    </r>
    <r>
      <rPr>
        <b/>
        <sz val="8"/>
        <color rgb="FFFF0000"/>
        <rFont val="Arial Cyr"/>
        <family val="2"/>
        <charset val="204"/>
      </rPr>
      <t xml:space="preserve">(убыток) </t>
    </r>
    <r>
      <rPr>
        <b/>
        <sz val="8"/>
        <rFont val="Arial Cyr"/>
        <charset val="204"/>
      </rPr>
      <t>с учетом инвестиций</t>
    </r>
    <r>
      <rPr>
        <b/>
        <sz val="8"/>
        <color rgb="FFFF0000"/>
        <rFont val="Arial Cyr"/>
        <charset val="204"/>
      </rPr>
      <t xml:space="preserve"> </t>
    </r>
  </si>
  <si>
    <t>% от выручки, который проходит по безналичному расчету</t>
  </si>
  <si>
    <t>размер банковской комиссии</t>
  </si>
  <si>
    <t>Срок окупаемости проекта с учетом инвестиций, мес.:</t>
  </si>
  <si>
    <t>Среднемесячная чистая прибыль 
за 1-й год работы</t>
  </si>
  <si>
    <t>Среднемесячная чистая прибыль 
за 2-й год работы</t>
  </si>
  <si>
    <t>Среднемесячная чистая прибыль 
за 3-й год работы</t>
  </si>
  <si>
    <t>Процент роста выручки*, %</t>
  </si>
  <si>
    <t>Рост коммунальных платежей**, %</t>
  </si>
  <si>
    <t>Рост затрат на услуги связи и интернет**, %</t>
  </si>
  <si>
    <t>Рост затрат на налоги**, %</t>
  </si>
  <si>
    <t>Рост коммунальных платежей*</t>
  </si>
  <si>
    <t>Рост затрат на услуги связи и интернет*</t>
  </si>
  <si>
    <t>Рост затрат на налоги*</t>
  </si>
  <si>
    <t>Мебель</t>
  </si>
  <si>
    <t>Количество сотрудников, чел.</t>
  </si>
  <si>
    <t>Название месяца</t>
  </si>
  <si>
    <r>
      <t>Налоги</t>
    </r>
    <r>
      <rPr>
        <b/>
        <sz val="16"/>
        <color rgb="FFFF0000"/>
        <rFont val="Calibri"/>
        <family val="2"/>
        <charset val="204"/>
        <scheme val="minor"/>
      </rPr>
      <t>**</t>
    </r>
    <r>
      <rPr>
        <b/>
        <sz val="16"/>
        <color theme="6" tint="-0.499984740745262"/>
        <rFont val="Calibri"/>
        <family val="2"/>
        <charset val="204"/>
        <scheme val="minor"/>
      </rPr>
      <t>, % от общей выручки</t>
    </r>
  </si>
  <si>
    <r>
      <t>Налоги</t>
    </r>
    <r>
      <rPr>
        <b/>
        <sz val="16"/>
        <color rgb="FFFF0000"/>
        <rFont val="Calibri"/>
        <family val="2"/>
        <charset val="204"/>
        <scheme val="minor"/>
      </rPr>
      <t>**</t>
    </r>
    <r>
      <rPr>
        <b/>
        <sz val="16"/>
        <color theme="6" tint="-0.499984740745262"/>
        <rFont val="Calibri"/>
        <family val="2"/>
        <charset val="204"/>
        <scheme val="minor"/>
      </rPr>
      <t>, фиксированная сумма</t>
    </r>
  </si>
  <si>
    <t>% от общей выручки</t>
  </si>
  <si>
    <t>фиксированная сумма</t>
  </si>
  <si>
    <t>Вид налогообложения</t>
  </si>
  <si>
    <t>Фиксированный оклад в месяц</t>
  </si>
  <si>
    <t>Хозяйственные нужды</t>
  </si>
  <si>
    <t>Сервисное обслуживание техники и оборудования*</t>
  </si>
  <si>
    <t>Сервисное обслуживание техники и оборудования</t>
  </si>
  <si>
    <t>Группы услуг</t>
  </si>
  <si>
    <t>выручка больше</t>
  </si>
  <si>
    <t>Реклама</t>
  </si>
  <si>
    <t>UAH</t>
  </si>
  <si>
    <t>UAH/мес.</t>
  </si>
  <si>
    <t>Курс валют (1 единица валюты = указанному количеству гривен)</t>
  </si>
  <si>
    <t xml:space="preserve"> * - процент по отношению к данным о плановой выручке, указанным в блоке "Финансовые параметры" на странице "Исходные данные".
 ** - по сравнения с данными, указанными в блоке "Персонал" и "Текущие затраты" на странице "Исходные данные".</t>
  </si>
  <si>
    <t>Залоговый платёж по аренде</t>
  </si>
  <si>
    <t>Налоги на зарплату сотрудников</t>
  </si>
  <si>
    <t>Местная реклама</t>
  </si>
  <si>
    <t>Ведение бухгалтерского учёта</t>
  </si>
  <si>
    <r>
      <t xml:space="preserve"> </t>
    </r>
    <r>
      <rPr>
        <sz val="14"/>
        <rFont val="Calibri"/>
        <family val="2"/>
        <charset val="204"/>
        <scheme val="minor"/>
      </rPr>
      <t>* - затраты на "Сервисное обслуживание техники и оборудования" - раз в год.</t>
    </r>
    <r>
      <rPr>
        <b/>
        <sz val="14"/>
        <color rgb="FFFF0000"/>
        <rFont val="Calibri"/>
        <family val="2"/>
        <charset val="204"/>
        <scheme val="minor"/>
      </rPr>
      <t xml:space="preserve">
 **</t>
    </r>
    <r>
      <rPr>
        <sz val="14"/>
        <rFont val="Calibri"/>
        <family val="2"/>
        <charset val="204"/>
        <scheme val="minor"/>
      </rPr>
      <t xml:space="preserve"> - налог, который применяется в расчете, выбирается на странице "Обобщенный расчет".</t>
    </r>
  </si>
  <si>
    <t>Маркетинговые отчисления</t>
  </si>
  <si>
    <t>Параметры выхода продаж на плановые показатели и дальнейший рост объемов продаж</t>
  </si>
  <si>
    <t xml:space="preserve"> * - без учета динамики выхода продаж на плановые показатели, которые указываются на странице "Исходные данные" в разделе "Параметры выхода продаж на плановые показатели и дальнейший рост объемов продаж".</t>
  </si>
  <si>
    <t>Итого за год:</t>
  </si>
  <si>
    <t>Исходные данные для финансовой модели франшизы "Autofreedom"</t>
  </si>
  <si>
    <t>Финансовая модель франшизы "Autofreedom"</t>
  </si>
  <si>
    <t>Продажа автомобилей из США и Канады</t>
  </si>
  <si>
    <t>Доля партнёра в марже от продажи 1-го автомобиля, % от маржи</t>
  </si>
  <si>
    <t>Плановое количество подписанных договоров на поставку авто в зависимости от календарного месяца, шт.</t>
  </si>
  <si>
    <t>Компьютер и  офисная техника</t>
  </si>
  <si>
    <t>Менеджер</t>
  </si>
  <si>
    <t xml:space="preserve"> * - с учетом динамики выхода продаж на плановые показатели, которые указываются на странице "Исходные данные" в разделе "Параметры выхода продаж на плановые показатели и дальнейший рост объемов продаж".</t>
  </si>
  <si>
    <t>Маржа от продажи автомобилей из США и Канады</t>
  </si>
  <si>
    <t>Маржа от продажи одного автомобиля</t>
  </si>
  <si>
    <r>
      <t xml:space="preserve">Маркетинговые отчисления, </t>
    </r>
    <r>
      <rPr>
        <b/>
        <sz val="16"/>
        <color rgb="FFFF0000"/>
        <rFont val="Calibri"/>
        <family val="2"/>
        <charset val="204"/>
        <scheme val="minor"/>
      </rPr>
      <t>USD с 1-го договора на поставку авто*</t>
    </r>
  </si>
  <si>
    <t>UAH/мес.*,  USD/1 договор или %</t>
  </si>
  <si>
    <r>
      <t xml:space="preserve">Паушальный взнос, </t>
    </r>
    <r>
      <rPr>
        <b/>
        <sz val="16"/>
        <color rgb="FFFF0000"/>
        <rFont val="Calibri"/>
        <family val="2"/>
        <charset val="204"/>
        <scheme val="minor"/>
      </rPr>
      <t>USD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</si>
</sst>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_-* #,##0.00_р_._-;\-* #,##0.00_р_._-;_-* &quot;-&quot;??_р_._-;_-@_-"/>
    <numFmt numFmtId="165" formatCode="#,##0.0"/>
    <numFmt numFmtId="166" formatCode="#,##0.0000"/>
    <numFmt numFmtId="167" formatCode="0.0%"/>
    <numFmt numFmtId="168" formatCode="#,##0_ ;[Red]\-#,##0\ "/>
    <numFmt numFmtId="169" formatCode="[$-419]0%"/>
  </numFmts>
  <fonts count="66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b/>
      <sz val="16"/>
      <color theme="1"/>
      <name val="Calibri"/>
      <family val="2"/>
      <charset val="204"/>
      <scheme val="minor"/>
    </font>
    <font>
      <b/>
      <sz val="28"/>
      <color theme="6" tint="-0.499984740745262"/>
      <name val="Calibri"/>
      <family val="2"/>
      <charset val="204"/>
      <scheme val="minor"/>
    </font>
    <font>
      <b/>
      <sz val="48"/>
      <color theme="6" tint="-0.499984740745262"/>
      <name val="Calibri"/>
      <family val="2"/>
      <charset val="204"/>
      <scheme val="minor"/>
    </font>
    <font>
      <b/>
      <sz val="20"/>
      <color theme="6" tint="-0.499984740745262"/>
      <name val="Calibri"/>
      <family val="2"/>
      <charset val="204"/>
      <scheme val="minor"/>
    </font>
    <font>
      <b/>
      <sz val="16"/>
      <color theme="6" tint="-0.499984740745262"/>
      <name val="Calibri"/>
      <family val="2"/>
      <charset val="204"/>
      <scheme val="minor"/>
    </font>
    <font>
      <b/>
      <sz val="14"/>
      <color theme="6" tint="-0.499984740745262"/>
      <name val="Calibri"/>
      <family val="2"/>
      <charset val="204"/>
      <scheme val="minor"/>
    </font>
    <font>
      <sz val="10"/>
      <name val="Arial Cyr"/>
      <family val="2"/>
      <charset val="204"/>
    </font>
    <font>
      <b/>
      <sz val="9"/>
      <name val="Arial Cyr"/>
      <family val="2"/>
      <charset val="204"/>
    </font>
    <font>
      <b/>
      <sz val="9"/>
      <name val="Arial"/>
      <family val="2"/>
      <charset val="204"/>
    </font>
    <font>
      <sz val="8"/>
      <name val="Arial Cyr"/>
      <family val="2"/>
      <charset val="204"/>
    </font>
    <font>
      <sz val="8"/>
      <color indexed="9"/>
      <name val="Arial Cyr"/>
      <family val="2"/>
      <charset val="204"/>
    </font>
    <font>
      <i/>
      <sz val="8"/>
      <color indexed="9"/>
      <name val="Arial Cyr"/>
      <family val="2"/>
      <charset val="204"/>
    </font>
    <font>
      <b/>
      <i/>
      <sz val="8"/>
      <name val="Arial Cyr"/>
      <family val="2"/>
      <charset val="204"/>
    </font>
    <font>
      <sz val="11"/>
      <color indexed="8"/>
      <name val="Calibri"/>
      <family val="2"/>
      <charset val="204"/>
    </font>
    <font>
      <b/>
      <sz val="8"/>
      <name val="Arial Cyr"/>
      <charset val="204"/>
    </font>
    <font>
      <b/>
      <sz val="8"/>
      <name val="Arial Cyr"/>
      <family val="2"/>
      <charset val="204"/>
    </font>
    <font>
      <b/>
      <sz val="8"/>
      <color rgb="FFFF0000"/>
      <name val="Arial Cyr"/>
      <family val="2"/>
      <charset val="204"/>
    </font>
    <font>
      <sz val="11"/>
      <color indexed="8"/>
      <name val="Arial Cyr"/>
      <family val="2"/>
      <charset val="204"/>
    </font>
    <font>
      <sz val="8"/>
      <color indexed="8"/>
      <name val="Arial Cyr"/>
      <family val="2"/>
      <charset val="204"/>
    </font>
    <font>
      <b/>
      <sz val="9"/>
      <name val="Arial Cyr"/>
      <charset val="204"/>
    </font>
    <font>
      <b/>
      <sz val="8"/>
      <color rgb="FFFF0000"/>
      <name val="Arial Cyr"/>
      <charset val="204"/>
    </font>
    <font>
      <sz val="8"/>
      <name val="Arial Cyr"/>
      <charset val="204"/>
    </font>
    <font>
      <b/>
      <sz val="46"/>
      <color theme="6" tint="-0.499984740745262"/>
      <name val="Calibri"/>
      <family val="2"/>
      <charset val="204"/>
      <scheme val="minor"/>
    </font>
    <font>
      <sz val="11"/>
      <color theme="4"/>
      <name val="Calibri"/>
      <family val="2"/>
      <charset val="204"/>
      <scheme val="minor"/>
    </font>
    <font>
      <b/>
      <sz val="18"/>
      <color theme="1"/>
      <name val="Calibri"/>
      <family val="2"/>
      <charset val="204"/>
      <scheme val="minor"/>
    </font>
    <font>
      <b/>
      <sz val="24"/>
      <color theme="6" tint="-0.499984740745262"/>
      <name val="Calibri"/>
      <family val="2"/>
      <charset val="204"/>
      <scheme val="minor"/>
    </font>
    <font>
      <b/>
      <sz val="20"/>
      <color theme="1"/>
      <name val="Calibri"/>
      <family val="2"/>
      <charset val="204"/>
      <scheme val="minor"/>
    </font>
    <font>
      <b/>
      <sz val="18"/>
      <color theme="6" tint="-0.499984740745262"/>
      <name val="Calibri"/>
      <family val="2"/>
      <charset val="204"/>
      <scheme val="minor"/>
    </font>
    <font>
      <sz val="12"/>
      <color rgb="FF0070C0"/>
      <name val="Calibri"/>
      <family val="2"/>
      <charset val="204"/>
      <scheme val="minor"/>
    </font>
    <font>
      <sz val="10"/>
      <color rgb="FF0070C0"/>
      <name val="Arial Cyr"/>
      <family val="2"/>
      <charset val="204"/>
    </font>
    <font>
      <b/>
      <sz val="10"/>
      <name val="Arial Cyr"/>
      <charset val="204"/>
    </font>
    <font>
      <sz val="11"/>
      <color rgb="FF0070C0"/>
      <name val="Calibri"/>
      <family val="2"/>
      <charset val="204"/>
      <scheme val="minor"/>
    </font>
    <font>
      <b/>
      <sz val="10"/>
      <name val="Arial Cyr"/>
      <family val="2"/>
      <charset val="204"/>
    </font>
    <font>
      <b/>
      <sz val="10"/>
      <color rgb="FF0070C0"/>
      <name val="Arial Cyr"/>
      <family val="2"/>
      <charset val="204"/>
    </font>
    <font>
      <b/>
      <sz val="8"/>
      <color indexed="9"/>
      <name val="Arial Cyr"/>
      <family val="2"/>
      <charset val="204"/>
    </font>
    <font>
      <b/>
      <sz val="11"/>
      <color indexed="8"/>
      <name val="Arial Cyr"/>
      <family val="2"/>
      <charset val="204"/>
    </font>
    <font>
      <sz val="8"/>
      <color theme="3"/>
      <name val="Arial Cyr"/>
      <family val="2"/>
      <charset val="204"/>
    </font>
    <font>
      <b/>
      <sz val="8"/>
      <color theme="3"/>
      <name val="Arial Cyr"/>
      <family val="2"/>
      <charset val="204"/>
    </font>
    <font>
      <sz val="14"/>
      <color theme="1"/>
      <name val="Calibri"/>
      <family val="2"/>
      <charset val="204"/>
      <scheme val="minor"/>
    </font>
    <font>
      <b/>
      <sz val="12"/>
      <color rgb="FFFF0000"/>
      <name val="Calibri"/>
      <family val="2"/>
      <charset val="204"/>
      <scheme val="minor"/>
    </font>
    <font>
      <b/>
      <sz val="8"/>
      <color rgb="FF0070C0"/>
      <name val="Arial Cyr"/>
      <charset val="204"/>
    </font>
    <font>
      <sz val="8"/>
      <color rgb="FF0070C0"/>
      <name val="Arial Cyr"/>
      <charset val="204"/>
    </font>
    <font>
      <b/>
      <i/>
      <sz val="8"/>
      <color rgb="FF0070C0"/>
      <name val="Arial Cyr"/>
      <charset val="204"/>
    </font>
    <font>
      <b/>
      <sz val="14"/>
      <name val="Calibri"/>
      <family val="2"/>
      <charset val="204"/>
      <scheme val="minor"/>
    </font>
    <font>
      <b/>
      <sz val="16"/>
      <color theme="1" tint="0.34998626667073579"/>
      <name val="Calibri"/>
      <family val="2"/>
      <charset val="204"/>
      <scheme val="minor"/>
    </font>
    <font>
      <b/>
      <sz val="20"/>
      <color theme="1" tint="0.34998626667073579"/>
      <name val="Calibri"/>
      <family val="2"/>
      <charset val="204"/>
      <scheme val="minor"/>
    </font>
    <font>
      <sz val="8"/>
      <color rgb="FF0070C0"/>
      <name val="Times New Roman"/>
      <family val="1"/>
      <charset val="204"/>
    </font>
    <font>
      <sz val="11"/>
      <color rgb="FFFF0000"/>
      <name val="Calibri"/>
      <family val="2"/>
      <charset val="204"/>
      <scheme val="minor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sz val="8"/>
      <color rgb="FF0070C0"/>
      <name val="Arial Cyr"/>
      <family val="2"/>
      <charset val="204"/>
    </font>
    <font>
      <b/>
      <sz val="8"/>
      <color rgb="FF0070C0"/>
      <name val="Arial Cyr"/>
      <family val="2"/>
      <charset val="204"/>
    </font>
    <font>
      <sz val="11"/>
      <color rgb="FF0070C0"/>
      <name val="Arial Cyr"/>
      <family val="2"/>
      <charset val="204"/>
    </font>
    <font>
      <b/>
      <sz val="11"/>
      <color rgb="FF0070C0"/>
      <name val="Arial Cyr"/>
      <family val="2"/>
      <charset val="204"/>
    </font>
    <font>
      <b/>
      <sz val="14"/>
      <color rgb="FFFF0000"/>
      <name val="Calibri"/>
      <family val="2"/>
      <charset val="204"/>
      <scheme val="minor"/>
    </font>
    <font>
      <b/>
      <sz val="16"/>
      <color rgb="FFFF0000"/>
      <name val="Calibri"/>
      <family val="2"/>
      <charset val="204"/>
      <scheme val="minor"/>
    </font>
    <font>
      <sz val="14"/>
      <name val="Calibri"/>
      <family val="2"/>
      <charset val="204"/>
      <scheme val="minor"/>
    </font>
    <font>
      <b/>
      <sz val="8"/>
      <color indexed="9"/>
      <name val="Arial Cyr"/>
      <charset val="204"/>
    </font>
    <font>
      <sz val="11"/>
      <color theme="1"/>
      <name val="Arial"/>
      <family val="2"/>
      <charset val="204"/>
    </font>
    <font>
      <sz val="11"/>
      <color rgb="FF000000"/>
      <name val="Calibri"/>
      <family val="2"/>
      <charset val="204"/>
    </font>
    <font>
      <sz val="16"/>
      <color rgb="FF0070C0"/>
      <name val="Calibri"/>
      <family val="2"/>
      <charset val="204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6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0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double">
        <color indexed="64"/>
      </bottom>
      <diagonal/>
    </border>
  </borders>
  <cellStyleXfs count="8">
    <xf numFmtId="0" fontId="0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1" fillId="0" borderId="0"/>
    <xf numFmtId="9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0" fontId="63" fillId="0" borderId="0"/>
    <xf numFmtId="169" fontId="64" fillId="0" borderId="0"/>
  </cellStyleXfs>
  <cellXfs count="297">
    <xf numFmtId="0" fontId="0" fillId="0" borderId="0" xfId="0"/>
    <xf numFmtId="0" fontId="28" fillId="6" borderId="0" xfId="0" applyFont="1" applyFill="1" applyProtection="1">
      <protection locked="0"/>
    </xf>
    <xf numFmtId="0" fontId="4" fillId="0" borderId="1" xfId="0" applyFont="1" applyBorder="1" applyAlignment="1">
      <alignment horizontal="center" vertical="center" wrapText="1"/>
    </xf>
    <xf numFmtId="0" fontId="14" fillId="6" borderId="0" xfId="3" applyFont="1" applyFill="1" applyAlignment="1">
      <alignment horizontal="left" vertical="center"/>
    </xf>
    <xf numFmtId="0" fontId="14" fillId="6" borderId="0" xfId="3" applyFont="1" applyFill="1" applyAlignment="1">
      <alignment horizontal="center" vertical="center"/>
    </xf>
    <xf numFmtId="9" fontId="14" fillId="6" borderId="0" xfId="3" applyNumberFormat="1" applyFont="1" applyFill="1" applyAlignment="1">
      <alignment horizontal="center" vertical="center"/>
    </xf>
    <xf numFmtId="9" fontId="20" fillId="6" borderId="0" xfId="3" applyNumberFormat="1" applyFont="1" applyFill="1" applyAlignment="1">
      <alignment horizontal="center" vertical="center"/>
    </xf>
    <xf numFmtId="0" fontId="14" fillId="6" borderId="0" xfId="3" applyFont="1" applyFill="1"/>
    <xf numFmtId="0" fontId="14" fillId="0" borderId="0" xfId="3" applyFont="1"/>
    <xf numFmtId="0" fontId="11" fillId="6" borderId="0" xfId="3" applyFill="1"/>
    <xf numFmtId="10" fontId="8" fillId="2" borderId="1" xfId="2" applyNumberFormat="1" applyFont="1" applyFill="1" applyBorder="1" applyAlignment="1" applyProtection="1">
      <alignment horizontal="center" vertical="center"/>
      <protection locked="0"/>
    </xf>
    <xf numFmtId="0" fontId="6" fillId="0" borderId="0" xfId="0" applyFont="1" applyAlignment="1">
      <alignment horizontal="center" vertical="center" wrapText="1"/>
    </xf>
    <xf numFmtId="3" fontId="52" fillId="0" borderId="0" xfId="0" applyNumberFormat="1" applyFont="1"/>
    <xf numFmtId="9" fontId="52" fillId="0" borderId="0" xfId="0" applyNumberFormat="1" applyFont="1"/>
    <xf numFmtId="0" fontId="36" fillId="0" borderId="0" xfId="0" applyFont="1"/>
    <xf numFmtId="0" fontId="28" fillId="0" borderId="0" xfId="0" applyFont="1"/>
    <xf numFmtId="0" fontId="29" fillId="0" borderId="5" xfId="0" applyFont="1" applyBorder="1" applyAlignment="1">
      <alignment horizontal="center" vertical="center"/>
    </xf>
    <xf numFmtId="0" fontId="27" fillId="0" borderId="0" xfId="0" applyFont="1" applyAlignment="1">
      <alignment horizontal="center" vertical="center"/>
    </xf>
    <xf numFmtId="0" fontId="29" fillId="0" borderId="0" xfId="0" applyFont="1" applyAlignment="1">
      <alignment horizontal="left" vertical="center"/>
    </xf>
    <xf numFmtId="0" fontId="5" fillId="6" borderId="0" xfId="0" applyFont="1" applyFill="1" applyAlignment="1">
      <alignment vertical="center"/>
    </xf>
    <xf numFmtId="0" fontId="29" fillId="0" borderId="0" xfId="0" applyFont="1" applyAlignment="1">
      <alignment horizontal="right" vertical="center"/>
    </xf>
    <xf numFmtId="0" fontId="31" fillId="0" borderId="0" xfId="0" applyFont="1" applyAlignment="1">
      <alignment vertical="center"/>
    </xf>
    <xf numFmtId="0" fontId="52" fillId="0" borderId="0" xfId="0" applyFont="1"/>
    <xf numFmtId="0" fontId="0" fillId="0" borderId="0" xfId="0" applyAlignment="1">
      <alignment vertical="center"/>
    </xf>
    <xf numFmtId="0" fontId="28" fillId="0" borderId="0" xfId="0" applyFont="1" applyAlignment="1">
      <alignment vertical="center"/>
    </xf>
    <xf numFmtId="0" fontId="36" fillId="0" borderId="0" xfId="0" applyFont="1" applyAlignment="1">
      <alignment vertical="center"/>
    </xf>
    <xf numFmtId="0" fontId="28" fillId="0" borderId="0" xfId="0" applyFont="1" applyAlignment="1">
      <alignment vertical="center" wrapText="1"/>
    </xf>
    <xf numFmtId="0" fontId="31" fillId="6" borderId="0" xfId="0" applyFont="1" applyFill="1" applyAlignment="1">
      <alignment vertical="center"/>
    </xf>
    <xf numFmtId="0" fontId="0" fillId="0" borderId="0" xfId="0" applyAlignment="1">
      <alignment horizontal="left" indent="1"/>
    </xf>
    <xf numFmtId="0" fontId="0" fillId="6" borderId="0" xfId="0" applyFill="1"/>
    <xf numFmtId="0" fontId="4" fillId="0" borderId="0" xfId="0" applyFont="1" applyAlignment="1">
      <alignment vertical="center" wrapText="1"/>
    </xf>
    <xf numFmtId="3" fontId="9" fillId="6" borderId="0" xfId="1" applyNumberFormat="1" applyFont="1" applyFill="1" applyAlignment="1">
      <alignment vertical="center"/>
    </xf>
    <xf numFmtId="0" fontId="33" fillId="0" borderId="0" xfId="0" applyFont="1"/>
    <xf numFmtId="0" fontId="2" fillId="6" borderId="0" xfId="0" applyFont="1" applyFill="1"/>
    <xf numFmtId="3" fontId="0" fillId="0" borderId="0" xfId="0" applyNumberFormat="1"/>
    <xf numFmtId="0" fontId="43" fillId="6" borderId="0" xfId="0" applyFont="1" applyFill="1" applyAlignment="1">
      <alignment horizontal="left" wrapText="1"/>
    </xf>
    <xf numFmtId="0" fontId="48" fillId="0" borderId="1" xfId="0" applyFont="1" applyBorder="1" applyAlignment="1">
      <alignment horizontal="center" vertical="center" wrapText="1"/>
    </xf>
    <xf numFmtId="3" fontId="50" fillId="6" borderId="1" xfId="1" applyNumberFormat="1" applyFont="1" applyFill="1" applyBorder="1" applyAlignment="1">
      <alignment horizontal="center" vertical="center"/>
    </xf>
    <xf numFmtId="0" fontId="33" fillId="0" borderId="0" xfId="0" applyFont="1" applyAlignment="1">
      <alignment vertical="center"/>
    </xf>
    <xf numFmtId="0" fontId="2" fillId="0" borderId="0" xfId="0" applyFont="1" applyAlignment="1">
      <alignment vertical="center" wrapText="1"/>
    </xf>
    <xf numFmtId="3" fontId="10" fillId="6" borderId="0" xfId="1" applyNumberFormat="1" applyFont="1" applyFill="1" applyAlignment="1">
      <alignment vertical="center"/>
    </xf>
    <xf numFmtId="0" fontId="5" fillId="0" borderId="0" xfId="0" applyFont="1" applyAlignment="1">
      <alignment vertical="center"/>
    </xf>
    <xf numFmtId="9" fontId="9" fillId="6" borderId="0" xfId="2" applyFont="1" applyFill="1" applyAlignment="1">
      <alignment vertical="center"/>
    </xf>
    <xf numFmtId="0" fontId="4" fillId="0" borderId="7" xfId="0" applyFont="1" applyBorder="1" applyAlignment="1">
      <alignment vertical="center" wrapText="1"/>
    </xf>
    <xf numFmtId="0" fontId="4" fillId="0" borderId="3" xfId="0" applyFont="1" applyBorder="1" applyAlignment="1">
      <alignment vertical="center" wrapText="1"/>
    </xf>
    <xf numFmtId="3" fontId="10" fillId="0" borderId="0" xfId="1" applyNumberFormat="1" applyFont="1" applyAlignment="1">
      <alignment vertical="center"/>
    </xf>
    <xf numFmtId="9" fontId="10" fillId="0" borderId="0" xfId="2" applyFont="1" applyAlignment="1">
      <alignment horizontal="left" vertical="center" indent="1"/>
    </xf>
    <xf numFmtId="0" fontId="0" fillId="0" borderId="5" xfId="0" applyBorder="1" applyAlignment="1">
      <alignment vertical="center"/>
    </xf>
    <xf numFmtId="0" fontId="0" fillId="0" borderId="5" xfId="0" applyBorder="1"/>
    <xf numFmtId="0" fontId="0" fillId="0" borderId="5" xfId="0" applyBorder="1" applyAlignment="1">
      <alignment horizontal="left" indent="1"/>
    </xf>
    <xf numFmtId="0" fontId="11" fillId="0" borderId="0" xfId="3"/>
    <xf numFmtId="0" fontId="12" fillId="3" borderId="0" xfId="3" applyFont="1" applyFill="1" applyAlignment="1">
      <alignment vertical="center"/>
    </xf>
    <xf numFmtId="0" fontId="12" fillId="3" borderId="0" xfId="3" applyFont="1" applyFill="1" applyAlignment="1">
      <alignment vertical="center" wrapText="1"/>
    </xf>
    <xf numFmtId="0" fontId="12" fillId="3" borderId="0" xfId="3" applyFont="1" applyFill="1" applyAlignment="1">
      <alignment horizontal="right" vertical="center"/>
    </xf>
    <xf numFmtId="1" fontId="24" fillId="3" borderId="0" xfId="3" applyNumberFormat="1" applyFont="1" applyFill="1" applyAlignment="1">
      <alignment horizontal="left" vertical="center"/>
    </xf>
    <xf numFmtId="0" fontId="13" fillId="3" borderId="0" xfId="3" applyFont="1" applyFill="1" applyAlignment="1">
      <alignment vertical="center" wrapText="1"/>
    </xf>
    <xf numFmtId="0" fontId="11" fillId="3" borderId="0" xfId="3" applyFill="1"/>
    <xf numFmtId="0" fontId="37" fillId="3" borderId="0" xfId="3" applyFont="1" applyFill="1"/>
    <xf numFmtId="0" fontId="24" fillId="3" borderId="0" xfId="3" applyFont="1" applyFill="1" applyAlignment="1">
      <alignment horizontal="left" vertical="center"/>
    </xf>
    <xf numFmtId="0" fontId="34" fillId="0" borderId="0" xfId="3" applyFont="1"/>
    <xf numFmtId="0" fontId="38" fillId="0" borderId="0" xfId="3" applyFont="1"/>
    <xf numFmtId="0" fontId="37" fillId="6" borderId="0" xfId="3" applyFont="1" applyFill="1"/>
    <xf numFmtId="0" fontId="11" fillId="0" borderId="0" xfId="3" applyAlignment="1">
      <alignment horizontal="left" vertical="center" wrapText="1"/>
    </xf>
    <xf numFmtId="0" fontId="15" fillId="4" borderId="6" xfId="3" applyFont="1" applyFill="1" applyBorder="1" applyAlignment="1">
      <alignment vertical="center"/>
    </xf>
    <xf numFmtId="0" fontId="15" fillId="4" borderId="9" xfId="3" applyFont="1" applyFill="1" applyBorder="1" applyAlignment="1">
      <alignment horizontal="center" vertical="center"/>
    </xf>
    <xf numFmtId="0" fontId="39" fillId="4" borderId="9" xfId="3" applyFont="1" applyFill="1" applyBorder="1" applyAlignment="1">
      <alignment horizontal="center" vertical="center" wrapText="1"/>
    </xf>
    <xf numFmtId="165" fontId="16" fillId="4" borderId="6" xfId="3" applyNumberFormat="1" applyFont="1" applyFill="1" applyBorder="1" applyAlignment="1">
      <alignment horizontal="center" vertical="center"/>
    </xf>
    <xf numFmtId="0" fontId="20" fillId="0" borderId="0" xfId="3" applyFont="1"/>
    <xf numFmtId="0" fontId="15" fillId="4" borderId="6" xfId="0" applyFont="1" applyFill="1" applyBorder="1" applyAlignment="1">
      <alignment vertical="center"/>
    </xf>
    <xf numFmtId="0" fontId="15" fillId="4" borderId="6" xfId="0" applyFont="1" applyFill="1" applyBorder="1" applyAlignment="1">
      <alignment horizontal="center" vertical="center"/>
    </xf>
    <xf numFmtId="0" fontId="15" fillId="4" borderId="9" xfId="0" applyFont="1" applyFill="1" applyBorder="1" applyAlignment="1">
      <alignment horizontal="center" vertical="center"/>
    </xf>
    <xf numFmtId="0" fontId="39" fillId="4" borderId="9" xfId="0" applyFont="1" applyFill="1" applyBorder="1" applyAlignment="1">
      <alignment horizontal="center" vertical="center" wrapText="1"/>
    </xf>
    <xf numFmtId="0" fontId="14" fillId="0" borderId="0" xfId="0" applyFont="1"/>
    <xf numFmtId="0" fontId="14" fillId="5" borderId="0" xfId="0" applyFont="1" applyFill="1" applyAlignment="1">
      <alignment horizontal="center" vertical="center"/>
    </xf>
    <xf numFmtId="3" fontId="14" fillId="5" borderId="0" xfId="0" applyNumberFormat="1" applyFont="1" applyFill="1" applyAlignment="1">
      <alignment vertical="center"/>
    </xf>
    <xf numFmtId="3" fontId="20" fillId="5" borderId="0" xfId="0" applyNumberFormat="1" applyFont="1" applyFill="1" applyAlignment="1">
      <alignment vertical="center"/>
    </xf>
    <xf numFmtId="3" fontId="17" fillId="6" borderId="0" xfId="0" applyNumberFormat="1" applyFont="1" applyFill="1" applyAlignment="1">
      <alignment vertical="center"/>
    </xf>
    <xf numFmtId="3" fontId="14" fillId="0" borderId="0" xfId="4" applyNumberFormat="1" applyFont="1"/>
    <xf numFmtId="3" fontId="14" fillId="0" borderId="0" xfId="0" applyNumberFormat="1" applyFont="1"/>
    <xf numFmtId="0" fontId="14" fillId="0" borderId="0" xfId="0" applyFont="1" applyAlignment="1">
      <alignment horizontal="left" vertical="center"/>
    </xf>
    <xf numFmtId="0" fontId="14" fillId="0" borderId="0" xfId="0" applyFont="1" applyAlignment="1">
      <alignment horizontal="center" vertical="center"/>
    </xf>
    <xf numFmtId="3" fontId="14" fillId="0" borderId="0" xfId="0" applyNumberFormat="1" applyFont="1" applyAlignment="1">
      <alignment vertical="center"/>
    </xf>
    <xf numFmtId="3" fontId="20" fillId="0" borderId="0" xfId="0" applyNumberFormat="1" applyFont="1" applyAlignment="1">
      <alignment vertical="center"/>
    </xf>
    <xf numFmtId="0" fontId="19" fillId="0" borderId="7" xfId="0" applyFont="1" applyBorder="1" applyAlignment="1">
      <alignment vertical="center"/>
    </xf>
    <xf numFmtId="0" fontId="14" fillId="0" borderId="7" xfId="0" applyFont="1" applyBorder="1" applyAlignment="1">
      <alignment horizontal="center" vertical="center"/>
    </xf>
    <xf numFmtId="3" fontId="19" fillId="0" borderId="7" xfId="0" applyNumberFormat="1" applyFont="1" applyBorder="1" applyAlignment="1">
      <alignment vertical="center"/>
    </xf>
    <xf numFmtId="9" fontId="14" fillId="0" borderId="0" xfId="4" applyFont="1"/>
    <xf numFmtId="0" fontId="14" fillId="0" borderId="0" xfId="0" applyFont="1" applyAlignment="1">
      <alignment vertical="center"/>
    </xf>
    <xf numFmtId="4" fontId="14" fillId="0" borderId="0" xfId="0" applyNumberFormat="1" applyFont="1" applyAlignment="1">
      <alignment vertical="center"/>
    </xf>
    <xf numFmtId="0" fontId="20" fillId="0" borderId="0" xfId="0" applyFont="1"/>
    <xf numFmtId="0" fontId="15" fillId="4" borderId="6" xfId="3" applyFont="1" applyFill="1" applyBorder="1" applyAlignment="1">
      <alignment horizontal="center" vertical="center"/>
    </xf>
    <xf numFmtId="0" fontId="39" fillId="4" borderId="6" xfId="0" applyFont="1" applyFill="1" applyBorder="1" applyAlignment="1">
      <alignment horizontal="center" vertical="center" wrapText="1"/>
    </xf>
    <xf numFmtId="9" fontId="14" fillId="0" borderId="0" xfId="0" applyNumberFormat="1" applyFont="1" applyAlignment="1">
      <alignment horizontal="left" vertical="center"/>
    </xf>
    <xf numFmtId="9" fontId="14" fillId="5" borderId="0" xfId="0" applyNumberFormat="1" applyFont="1" applyFill="1" applyAlignment="1">
      <alignment horizontal="left" vertical="center"/>
    </xf>
    <xf numFmtId="3" fontId="19" fillId="6" borderId="7" xfId="0" applyNumberFormat="1" applyFont="1" applyFill="1" applyBorder="1" applyAlignment="1">
      <alignment vertical="center"/>
    </xf>
    <xf numFmtId="0" fontId="45" fillId="6" borderId="0" xfId="3" applyFont="1" applyFill="1" applyAlignment="1">
      <alignment horizontal="left" vertical="center"/>
    </xf>
    <xf numFmtId="0" fontId="46" fillId="6" borderId="0" xfId="3" applyFont="1" applyFill="1" applyAlignment="1">
      <alignment horizontal="center" vertical="center"/>
    </xf>
    <xf numFmtId="4" fontId="45" fillId="6" borderId="0" xfId="3" applyNumberFormat="1" applyFont="1" applyFill="1" applyAlignment="1">
      <alignment vertical="center"/>
    </xf>
    <xf numFmtId="4" fontId="47" fillId="6" borderId="0" xfId="0" applyNumberFormat="1" applyFont="1" applyFill="1" applyAlignment="1">
      <alignment vertical="center"/>
    </xf>
    <xf numFmtId="0" fontId="46" fillId="6" borderId="0" xfId="3" applyFont="1" applyFill="1"/>
    <xf numFmtId="0" fontId="20" fillId="6" borderId="7" xfId="3" applyFont="1" applyFill="1" applyBorder="1" applyAlignment="1">
      <alignment horizontal="left" vertical="center"/>
    </xf>
    <xf numFmtId="0" fontId="14" fillId="6" borderId="7" xfId="3" applyFont="1" applyFill="1" applyBorder="1" applyAlignment="1">
      <alignment horizontal="center" vertical="center"/>
    </xf>
    <xf numFmtId="3" fontId="20" fillId="6" borderId="7" xfId="3" applyNumberFormat="1" applyFont="1" applyFill="1" applyBorder="1" applyAlignment="1">
      <alignment vertical="center"/>
    </xf>
    <xf numFmtId="0" fontId="14" fillId="0" borderId="0" xfId="3" applyFont="1" applyAlignment="1">
      <alignment vertical="center"/>
    </xf>
    <xf numFmtId="0" fontId="14" fillId="0" borderId="0" xfId="3" applyFont="1" applyAlignment="1">
      <alignment horizontal="center" vertical="center"/>
    </xf>
    <xf numFmtId="0" fontId="20" fillId="0" borderId="0" xfId="3" applyFont="1" applyAlignment="1">
      <alignment vertical="center"/>
    </xf>
    <xf numFmtId="0" fontId="20" fillId="0" borderId="0" xfId="0" applyFont="1" applyAlignment="1">
      <alignment horizontal="left" vertical="center"/>
    </xf>
    <xf numFmtId="168" fontId="14" fillId="0" borderId="0" xfId="0" applyNumberFormat="1" applyFont="1" applyAlignment="1">
      <alignment vertical="center"/>
    </xf>
    <xf numFmtId="168" fontId="20" fillId="0" borderId="0" xfId="0" applyNumberFormat="1" applyFont="1" applyAlignment="1">
      <alignment vertical="center"/>
    </xf>
    <xf numFmtId="168" fontId="17" fillId="6" borderId="0" xfId="3" applyNumberFormat="1" applyFont="1" applyFill="1" applyAlignment="1">
      <alignment vertical="center"/>
    </xf>
    <xf numFmtId="0" fontId="26" fillId="6" borderId="0" xfId="0" applyFont="1" applyFill="1" applyAlignment="1">
      <alignment horizontal="left" vertical="center"/>
    </xf>
    <xf numFmtId="0" fontId="14" fillId="6" borderId="0" xfId="0" applyFont="1" applyFill="1" applyAlignment="1">
      <alignment horizontal="center" vertical="center"/>
    </xf>
    <xf numFmtId="168" fontId="14" fillId="6" borderId="0" xfId="0" applyNumberFormat="1" applyFont="1" applyFill="1" applyAlignment="1">
      <alignment vertical="center"/>
    </xf>
    <xf numFmtId="0" fontId="14" fillId="6" borderId="0" xfId="0" applyFont="1" applyFill="1"/>
    <xf numFmtId="0" fontId="25" fillId="6" borderId="0" xfId="0" applyFont="1" applyFill="1" applyAlignment="1">
      <alignment horizontal="left" vertical="center" wrapText="1"/>
    </xf>
    <xf numFmtId="0" fontId="25" fillId="6" borderId="0" xfId="0" applyFont="1" applyFill="1" applyAlignment="1">
      <alignment horizontal="left" vertical="center"/>
    </xf>
    <xf numFmtId="168" fontId="17" fillId="0" borderId="0" xfId="3" applyNumberFormat="1" applyFont="1" applyAlignment="1">
      <alignment vertical="center"/>
    </xf>
    <xf numFmtId="0" fontId="14" fillId="6" borderId="0" xfId="0" applyFont="1" applyFill="1" applyAlignment="1">
      <alignment horizontal="left" vertical="center"/>
    </xf>
    <xf numFmtId="3" fontId="14" fillId="6" borderId="0" xfId="0" applyNumberFormat="1" applyFont="1" applyFill="1" applyAlignment="1">
      <alignment horizontal="left" vertical="center"/>
    </xf>
    <xf numFmtId="3" fontId="17" fillId="0" borderId="0" xfId="3" applyNumberFormat="1" applyFont="1" applyAlignment="1">
      <alignment vertical="center"/>
    </xf>
    <xf numFmtId="3" fontId="14" fillId="6" borderId="0" xfId="0" applyNumberFormat="1" applyFont="1" applyFill="1" applyAlignment="1">
      <alignment vertical="center"/>
    </xf>
    <xf numFmtId="3" fontId="17" fillId="6" borderId="0" xfId="3" applyNumberFormat="1" applyFont="1" applyFill="1" applyAlignment="1">
      <alignment vertical="center"/>
    </xf>
    <xf numFmtId="3" fontId="14" fillId="6" borderId="0" xfId="0" applyNumberFormat="1" applyFont="1" applyFill="1"/>
    <xf numFmtId="0" fontId="39" fillId="4" borderId="6" xfId="0" applyFont="1" applyFill="1" applyBorder="1" applyAlignment="1">
      <alignment horizontal="center" vertical="center"/>
    </xf>
    <xf numFmtId="0" fontId="22" fillId="0" borderId="0" xfId="0" applyFont="1" applyAlignment="1">
      <alignment horizontal="left" vertical="center" wrapText="1"/>
    </xf>
    <xf numFmtId="0" fontId="23" fillId="0" borderId="0" xfId="0" applyFont="1" applyAlignment="1">
      <alignment horizontal="left" vertical="center" wrapText="1"/>
    </xf>
    <xf numFmtId="10" fontId="17" fillId="0" borderId="0" xfId="0" applyNumberFormat="1" applyFont="1" applyAlignment="1">
      <alignment vertical="center"/>
    </xf>
    <xf numFmtId="166" fontId="14" fillId="0" borderId="0" xfId="0" applyNumberFormat="1" applyFont="1" applyAlignment="1">
      <alignment horizontal="left" vertical="center"/>
    </xf>
    <xf numFmtId="9" fontId="14" fillId="6" borderId="0" xfId="2" applyFont="1" applyFill="1" applyAlignment="1">
      <alignment horizontal="center" vertical="center"/>
    </xf>
    <xf numFmtId="9" fontId="14" fillId="6" borderId="0" xfId="2" applyFont="1" applyFill="1" applyAlignment="1">
      <alignment vertical="center"/>
    </xf>
    <xf numFmtId="166" fontId="20" fillId="0" borderId="0" xfId="0" applyNumberFormat="1" applyFont="1" applyAlignment="1">
      <alignment vertical="center"/>
    </xf>
    <xf numFmtId="166" fontId="17" fillId="0" borderId="0" xfId="0" applyNumberFormat="1" applyFont="1" applyAlignment="1">
      <alignment vertical="center"/>
    </xf>
    <xf numFmtId="166" fontId="14" fillId="0" borderId="0" xfId="0" applyNumberFormat="1" applyFont="1"/>
    <xf numFmtId="166" fontId="14" fillId="6" borderId="0" xfId="0" applyNumberFormat="1" applyFont="1" applyFill="1" applyAlignment="1">
      <alignment horizontal="left" vertical="center"/>
    </xf>
    <xf numFmtId="168" fontId="51" fillId="6" borderId="0" xfId="0" applyNumberFormat="1" applyFont="1" applyFill="1"/>
    <xf numFmtId="166" fontId="20" fillId="6" borderId="0" xfId="0" applyNumberFormat="1" applyFont="1" applyFill="1" applyAlignment="1">
      <alignment vertical="center"/>
    </xf>
    <xf numFmtId="166" fontId="17" fillId="6" borderId="0" xfId="0" applyNumberFormat="1" applyFont="1" applyFill="1" applyAlignment="1">
      <alignment vertical="center"/>
    </xf>
    <xf numFmtId="166" fontId="14" fillId="6" borderId="0" xfId="0" applyNumberFormat="1" applyFont="1" applyFill="1"/>
    <xf numFmtId="4" fontId="20" fillId="0" borderId="0" xfId="0" applyNumberFormat="1" applyFont="1" applyAlignment="1">
      <alignment vertical="center"/>
    </xf>
    <xf numFmtId="4" fontId="14" fillId="0" borderId="0" xfId="0" applyNumberFormat="1" applyFont="1" applyAlignment="1">
      <alignment horizontal="center" vertical="center"/>
    </xf>
    <xf numFmtId="4" fontId="17" fillId="0" borderId="0" xfId="0" applyNumberFormat="1" applyFont="1" applyAlignment="1">
      <alignment vertical="center"/>
    </xf>
    <xf numFmtId="0" fontId="20" fillId="6" borderId="0" xfId="0" applyFont="1" applyFill="1" applyAlignment="1">
      <alignment horizontal="right"/>
    </xf>
    <xf numFmtId="4" fontId="20" fillId="0" borderId="1" xfId="0" applyNumberFormat="1" applyFont="1" applyBorder="1" applyAlignment="1">
      <alignment vertical="center"/>
    </xf>
    <xf numFmtId="1" fontId="20" fillId="0" borderId="1" xfId="0" applyNumberFormat="1" applyFont="1" applyBorder="1"/>
    <xf numFmtId="4" fontId="14" fillId="0" borderId="0" xfId="3" applyNumberFormat="1" applyFont="1" applyAlignment="1">
      <alignment vertical="center"/>
    </xf>
    <xf numFmtId="4" fontId="14" fillId="0" borderId="0" xfId="0" applyNumberFormat="1" applyFont="1"/>
    <xf numFmtId="4" fontId="19" fillId="0" borderId="0" xfId="0" applyNumberFormat="1" applyFont="1"/>
    <xf numFmtId="0" fontId="41" fillId="0" borderId="0" xfId="0" applyFont="1"/>
    <xf numFmtId="0" fontId="42" fillId="0" borderId="0" xfId="0" applyFont="1"/>
    <xf numFmtId="0" fontId="23" fillId="0" borderId="0" xfId="0" applyFont="1"/>
    <xf numFmtId="0" fontId="22" fillId="0" borderId="0" xfId="0" applyFont="1"/>
    <xf numFmtId="0" fontId="40" fillId="0" borderId="0" xfId="0" applyFont="1"/>
    <xf numFmtId="0" fontId="55" fillId="0" borderId="0" xfId="0" applyFont="1"/>
    <xf numFmtId="3" fontId="55" fillId="0" borderId="0" xfId="0" applyNumberFormat="1" applyFont="1" applyAlignment="1">
      <alignment vertical="center"/>
    </xf>
    <xf numFmtId="168" fontId="56" fillId="0" borderId="0" xfId="0" applyNumberFormat="1" applyFont="1" applyAlignment="1">
      <alignment vertical="center"/>
    </xf>
    <xf numFmtId="0" fontId="57" fillId="0" borderId="0" xfId="0" applyFont="1"/>
    <xf numFmtId="0" fontId="58" fillId="0" borderId="0" xfId="0" applyFont="1"/>
    <xf numFmtId="0" fontId="37" fillId="0" borderId="0" xfId="3" applyFont="1"/>
    <xf numFmtId="0" fontId="29" fillId="0" borderId="0" xfId="0" applyFont="1" applyAlignment="1">
      <alignment vertical="center"/>
    </xf>
    <xf numFmtId="0" fontId="36" fillId="6" borderId="0" xfId="0" applyFont="1" applyFill="1"/>
    <xf numFmtId="0" fontId="3" fillId="6" borderId="0" xfId="0" applyFont="1" applyFill="1"/>
    <xf numFmtId="0" fontId="2" fillId="0" borderId="0" xfId="0" applyFont="1" applyAlignment="1">
      <alignment horizontal="center" vertical="center"/>
    </xf>
    <xf numFmtId="9" fontId="10" fillId="6" borderId="0" xfId="2" applyFont="1" applyFill="1" applyAlignment="1">
      <alignment horizontal="left" vertical="center" indent="1"/>
    </xf>
    <xf numFmtId="10" fontId="28" fillId="0" borderId="0" xfId="2" applyNumberFormat="1" applyFont="1"/>
    <xf numFmtId="14" fontId="0" fillId="0" borderId="0" xfId="0" applyNumberFormat="1"/>
    <xf numFmtId="9" fontId="33" fillId="0" borderId="0" xfId="0" applyNumberFormat="1" applyFont="1" applyAlignment="1">
      <alignment vertical="center"/>
    </xf>
    <xf numFmtId="0" fontId="0" fillId="6" borderId="0" xfId="0" applyFill="1" applyAlignment="1">
      <alignment vertical="center"/>
    </xf>
    <xf numFmtId="0" fontId="28" fillId="0" borderId="0" xfId="0" applyFont="1" applyProtection="1">
      <protection locked="0"/>
    </xf>
    <xf numFmtId="0" fontId="36" fillId="0" borderId="0" xfId="0" applyFont="1" applyProtection="1">
      <protection locked="0"/>
    </xf>
    <xf numFmtId="0" fontId="0" fillId="0" borderId="0" xfId="0" applyProtection="1">
      <protection locked="0"/>
    </xf>
    <xf numFmtId="0" fontId="2" fillId="0" borderId="0" xfId="0" applyFont="1" applyAlignment="1" applyProtection="1">
      <alignment horizontal="center" vertical="center"/>
      <protection locked="0"/>
    </xf>
    <xf numFmtId="0" fontId="28" fillId="0" borderId="0" xfId="0" applyFont="1" applyAlignment="1" applyProtection="1">
      <alignment vertical="center"/>
      <protection locked="0"/>
    </xf>
    <xf numFmtId="0" fontId="36" fillId="0" borderId="0" xfId="0" applyFont="1" applyAlignment="1" applyProtection="1">
      <alignment vertical="center"/>
      <protection locked="0"/>
    </xf>
    <xf numFmtId="0" fontId="33" fillId="0" borderId="0" xfId="0" applyFont="1" applyProtection="1">
      <protection locked="0"/>
    </xf>
    <xf numFmtId="10" fontId="28" fillId="0" borderId="0" xfId="2" applyNumberFormat="1" applyFont="1" applyProtection="1">
      <protection locked="0"/>
    </xf>
    <xf numFmtId="0" fontId="19" fillId="0" borderId="0" xfId="0" applyFont="1" applyAlignment="1">
      <alignment vertical="center"/>
    </xf>
    <xf numFmtId="3" fontId="19" fillId="0" borderId="0" xfId="0" applyNumberFormat="1" applyFont="1" applyAlignment="1">
      <alignment vertical="center"/>
    </xf>
    <xf numFmtId="165" fontId="62" fillId="4" borderId="6" xfId="3" applyNumberFormat="1" applyFont="1" applyFill="1" applyBorder="1" applyAlignment="1">
      <alignment horizontal="center" vertical="center" wrapText="1"/>
    </xf>
    <xf numFmtId="165" fontId="62" fillId="4" borderId="6" xfId="0" applyNumberFormat="1" applyFont="1" applyFill="1" applyBorder="1" applyAlignment="1">
      <alignment horizontal="center" vertical="center" wrapText="1"/>
    </xf>
    <xf numFmtId="3" fontId="19" fillId="6" borderId="0" xfId="0" applyNumberFormat="1" applyFont="1" applyFill="1" applyAlignment="1">
      <alignment vertical="center"/>
    </xf>
    <xf numFmtId="0" fontId="45" fillId="0" borderId="0" xfId="0" applyFont="1" applyAlignment="1">
      <alignment vertical="center"/>
    </xf>
    <xf numFmtId="3" fontId="45" fillId="0" borderId="0" xfId="0" applyNumberFormat="1" applyFont="1" applyAlignment="1">
      <alignment vertical="center"/>
    </xf>
    <xf numFmtId="3" fontId="45" fillId="6" borderId="0" xfId="0" applyNumberFormat="1" applyFont="1" applyFill="1" applyAlignment="1">
      <alignment vertical="center"/>
    </xf>
    <xf numFmtId="9" fontId="46" fillId="0" borderId="0" xfId="4" applyFont="1"/>
    <xf numFmtId="0" fontId="46" fillId="0" borderId="0" xfId="0" applyFont="1"/>
    <xf numFmtId="3" fontId="46" fillId="0" borderId="0" xfId="0" applyNumberFormat="1" applyFont="1" applyAlignment="1">
      <alignment horizontal="center" vertical="center"/>
    </xf>
    <xf numFmtId="0" fontId="10" fillId="6" borderId="0" xfId="2" applyNumberFormat="1" applyFont="1" applyFill="1" applyAlignment="1">
      <alignment horizontal="left" vertical="center" indent="1"/>
    </xf>
    <xf numFmtId="0" fontId="28" fillId="6" borderId="0" xfId="0" applyFont="1" applyFill="1" applyAlignment="1">
      <alignment vertical="center" wrapText="1"/>
    </xf>
    <xf numFmtId="9" fontId="0" fillId="6" borderId="0" xfId="2" applyFont="1" applyFill="1" applyAlignment="1">
      <alignment vertical="center"/>
    </xf>
    <xf numFmtId="0" fontId="36" fillId="6" borderId="0" xfId="0" applyFont="1" applyFill="1" applyAlignment="1">
      <alignment vertical="center"/>
    </xf>
    <xf numFmtId="0" fontId="65" fillId="0" borderId="0" xfId="0" applyFont="1"/>
    <xf numFmtId="0" fontId="43" fillId="6" borderId="1" xfId="0" applyFont="1" applyFill="1" applyBorder="1" applyAlignment="1">
      <alignment horizontal="center" vertical="center" wrapText="1"/>
    </xf>
    <xf numFmtId="3" fontId="50" fillId="2" borderId="1" xfId="1" applyNumberFormat="1" applyFont="1" applyFill="1" applyBorder="1" applyAlignment="1" applyProtection="1">
      <alignment horizontal="center" vertical="center"/>
      <protection locked="0"/>
    </xf>
    <xf numFmtId="0" fontId="2" fillId="0" borderId="5" xfId="0" applyFont="1" applyBorder="1" applyAlignment="1">
      <alignment horizontal="center" vertical="center" wrapText="1"/>
    </xf>
    <xf numFmtId="167" fontId="8" fillId="6" borderId="1" xfId="2" applyNumberFormat="1" applyFont="1" applyFill="1" applyBorder="1" applyAlignment="1">
      <alignment horizontal="center" vertical="center"/>
    </xf>
    <xf numFmtId="167" fontId="30" fillId="6" borderId="0" xfId="2" applyNumberFormat="1" applyFont="1" applyFill="1" applyAlignment="1">
      <alignment horizontal="center" vertical="center"/>
    </xf>
    <xf numFmtId="0" fontId="29" fillId="0" borderId="3" xfId="0" applyFont="1" applyBorder="1" applyAlignment="1">
      <alignment horizontal="center" vertical="center"/>
    </xf>
    <xf numFmtId="0" fontId="29" fillId="2" borderId="1" xfId="0" applyFont="1" applyFill="1" applyBorder="1" applyAlignment="1">
      <alignment horizontal="center" vertical="center"/>
    </xf>
    <xf numFmtId="166" fontId="8" fillId="2" borderId="1" xfId="2" applyNumberFormat="1" applyFont="1" applyFill="1" applyBorder="1" applyAlignment="1">
      <alignment horizontal="center" vertical="center"/>
    </xf>
    <xf numFmtId="10" fontId="50" fillId="2" borderId="1" xfId="2" applyNumberFormat="1" applyFont="1" applyFill="1" applyBorder="1" applyAlignment="1" applyProtection="1">
      <alignment horizontal="center" vertical="center"/>
      <protection locked="0"/>
    </xf>
    <xf numFmtId="3" fontId="8" fillId="6" borderId="1" xfId="2" applyNumberFormat="1" applyFont="1" applyFill="1" applyBorder="1" applyAlignment="1">
      <alignment horizontal="center" vertical="center"/>
    </xf>
    <xf numFmtId="0" fontId="29" fillId="2" borderId="2" xfId="0" applyFont="1" applyFill="1" applyBorder="1" applyAlignment="1">
      <alignment horizontal="center" vertical="center"/>
    </xf>
    <xf numFmtId="0" fontId="29" fillId="0" borderId="1" xfId="0" applyFont="1" applyBorder="1" applyAlignment="1">
      <alignment horizontal="center" vertical="center"/>
    </xf>
    <xf numFmtId="165" fontId="5" fillId="6" borderId="0" xfId="0" applyNumberFormat="1" applyFont="1" applyFill="1" applyAlignment="1">
      <alignment horizontal="center" vertical="center" wrapText="1"/>
    </xf>
    <xf numFmtId="10" fontId="8" fillId="6" borderId="0" xfId="2" applyNumberFormat="1" applyFont="1" applyFill="1" applyAlignment="1" applyProtection="1">
      <alignment horizontal="center" vertical="center"/>
      <protection locked="0"/>
    </xf>
    <xf numFmtId="10" fontId="8" fillId="6" borderId="0" xfId="2" applyNumberFormat="1" applyFont="1" applyFill="1" applyAlignment="1" applyProtection="1">
      <alignment vertical="center"/>
      <protection locked="0"/>
    </xf>
    <xf numFmtId="165" fontId="5" fillId="6" borderId="0" xfId="0" applyNumberFormat="1" applyFont="1" applyFill="1" applyAlignment="1">
      <alignment vertical="center" wrapText="1"/>
    </xf>
    <xf numFmtId="3" fontId="8" fillId="6" borderId="2" xfId="1" applyNumberFormat="1" applyFont="1" applyFill="1" applyBorder="1" applyAlignment="1">
      <alignment horizontal="center" vertical="center"/>
    </xf>
    <xf numFmtId="3" fontId="8" fillId="6" borderId="3" xfId="1" applyNumberFormat="1" applyFont="1" applyFill="1" applyBorder="1" applyAlignment="1">
      <alignment horizontal="center" vertical="center"/>
    </xf>
    <xf numFmtId="3" fontId="8" fillId="6" borderId="4" xfId="1" applyNumberFormat="1" applyFont="1" applyFill="1" applyBorder="1" applyAlignment="1">
      <alignment horizontal="center" vertical="center"/>
    </xf>
    <xf numFmtId="166" fontId="48" fillId="0" borderId="2" xfId="0" applyNumberFormat="1" applyFont="1" applyBorder="1" applyAlignment="1">
      <alignment horizontal="center" vertical="center" wrapText="1"/>
    </xf>
    <xf numFmtId="166" fontId="48" fillId="0" borderId="3" xfId="0" applyNumberFormat="1" applyFont="1" applyBorder="1" applyAlignment="1">
      <alignment horizontal="center" vertical="center" wrapText="1"/>
    </xf>
    <xf numFmtId="166" fontId="48" fillId="0" borderId="4" xfId="0" applyNumberFormat="1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10" fontId="8" fillId="2" borderId="2" xfId="2" applyNumberFormat="1" applyFont="1" applyFill="1" applyBorder="1" applyAlignment="1" applyProtection="1">
      <alignment horizontal="center" vertical="center"/>
      <protection locked="0"/>
    </xf>
    <xf numFmtId="10" fontId="8" fillId="2" borderId="4" xfId="2" applyNumberFormat="1" applyFont="1" applyFill="1" applyBorder="1" applyAlignment="1" applyProtection="1">
      <alignment horizontal="center" vertical="center"/>
      <protection locked="0"/>
    </xf>
    <xf numFmtId="0" fontId="4" fillId="0" borderId="3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165" fontId="9" fillId="2" borderId="1" xfId="2" applyNumberFormat="1" applyFont="1" applyFill="1" applyBorder="1" applyAlignment="1" applyProtection="1">
      <alignment horizontal="left" vertical="center" wrapText="1"/>
      <protection locked="0"/>
    </xf>
    <xf numFmtId="3" fontId="8" fillId="2" borderId="1" xfId="2" applyNumberFormat="1" applyFont="1" applyFill="1" applyBorder="1" applyAlignment="1" applyProtection="1">
      <alignment horizontal="center" vertical="center"/>
      <protection locked="0"/>
    </xf>
    <xf numFmtId="3" fontId="8" fillId="6" borderId="1" xfId="2" applyNumberFormat="1" applyFont="1" applyFill="1" applyBorder="1" applyAlignment="1">
      <alignment horizontal="center" vertical="center"/>
    </xf>
    <xf numFmtId="9" fontId="8" fillId="2" borderId="1" xfId="2" applyFont="1" applyFill="1" applyBorder="1" applyAlignment="1" applyProtection="1">
      <alignment horizontal="center" vertical="center"/>
      <protection locked="0"/>
    </xf>
    <xf numFmtId="0" fontId="5" fillId="0" borderId="1" xfId="0" applyFont="1" applyBorder="1" applyAlignment="1">
      <alignment horizontal="center" vertical="center"/>
    </xf>
    <xf numFmtId="0" fontId="59" fillId="6" borderId="5" xfId="0" applyFont="1" applyFill="1" applyBorder="1" applyAlignment="1">
      <alignment horizontal="left" vertical="center" wrapText="1"/>
    </xf>
    <xf numFmtId="9" fontId="9" fillId="0" borderId="0" xfId="2" applyFont="1" applyAlignment="1">
      <alignment horizontal="left" vertical="center" wrapText="1"/>
    </xf>
    <xf numFmtId="9" fontId="9" fillId="0" borderId="8" xfId="2" applyFont="1" applyBorder="1" applyAlignment="1">
      <alignment horizontal="left" vertical="center" wrapText="1"/>
    </xf>
    <xf numFmtId="167" fontId="8" fillId="2" borderId="1" xfId="2" applyNumberFormat="1" applyFont="1" applyFill="1" applyBorder="1" applyAlignment="1" applyProtection="1">
      <alignment horizontal="center" vertical="center"/>
      <protection locked="0"/>
    </xf>
    <xf numFmtId="3" fontId="8" fillId="2" borderId="1" xfId="1" applyNumberFormat="1" applyFont="1" applyFill="1" applyBorder="1" applyAlignment="1" applyProtection="1">
      <alignment horizontal="center" vertical="center"/>
      <protection locked="0"/>
    </xf>
    <xf numFmtId="0" fontId="44" fillId="2" borderId="0" xfId="0" applyFont="1" applyFill="1" applyAlignment="1">
      <alignment horizontal="center" vertical="center"/>
    </xf>
    <xf numFmtId="0" fontId="43" fillId="6" borderId="5" xfId="0" applyFont="1" applyFill="1" applyBorder="1" applyAlignment="1">
      <alignment horizontal="left" vertical="center" wrapText="1"/>
    </xf>
    <xf numFmtId="9" fontId="9" fillId="0" borderId="0" xfId="2" applyFont="1" applyAlignment="1">
      <alignment vertical="center" wrapText="1"/>
    </xf>
    <xf numFmtId="9" fontId="9" fillId="0" borderId="8" xfId="2" applyFont="1" applyBorder="1" applyAlignment="1">
      <alignment vertical="center" wrapText="1"/>
    </xf>
    <xf numFmtId="0" fontId="6" fillId="0" borderId="0" xfId="0" applyFont="1" applyAlignment="1">
      <alignment horizontal="center" vertical="center" wrapText="1"/>
    </xf>
    <xf numFmtId="9" fontId="9" fillId="6" borderId="0" xfId="2" applyFont="1" applyFill="1" applyAlignment="1">
      <alignment horizontal="left" vertical="center" wrapText="1"/>
    </xf>
    <xf numFmtId="0" fontId="32" fillId="0" borderId="0" xfId="0" applyFont="1" applyAlignment="1">
      <alignment horizontal="left" vertical="center"/>
    </xf>
    <xf numFmtId="0" fontId="29" fillId="0" borderId="0" xfId="0" applyFont="1" applyAlignment="1">
      <alignment horizontal="left" vertical="center" wrapText="1"/>
    </xf>
    <xf numFmtId="0" fontId="29" fillId="0" borderId="8" xfId="0" applyFont="1" applyBorder="1" applyAlignment="1">
      <alignment horizontal="left" vertical="center" wrapText="1"/>
    </xf>
    <xf numFmtId="9" fontId="9" fillId="6" borderId="8" xfId="2" applyFont="1" applyFill="1" applyBorder="1" applyAlignment="1">
      <alignment horizontal="left" vertical="center" wrapText="1"/>
    </xf>
    <xf numFmtId="0" fontId="48" fillId="0" borderId="1" xfId="0" applyFont="1" applyBorder="1" applyAlignment="1">
      <alignment horizontal="center" vertical="center" wrapText="1"/>
    </xf>
    <xf numFmtId="0" fontId="5" fillId="6" borderId="1" xfId="0" applyFont="1" applyFill="1" applyBorder="1" applyAlignment="1">
      <alignment horizontal="center" vertical="center" wrapText="1"/>
    </xf>
    <xf numFmtId="0" fontId="32" fillId="6" borderId="1" xfId="2" applyNumberFormat="1" applyFont="1" applyFill="1" applyBorder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0" fillId="0" borderId="0" xfId="0" applyAlignment="1">
      <alignment horizontal="left" vertical="center"/>
    </xf>
    <xf numFmtId="0" fontId="29" fillId="0" borderId="1" xfId="0" applyFont="1" applyBorder="1" applyAlignment="1">
      <alignment horizontal="center" vertical="center" wrapText="1"/>
    </xf>
    <xf numFmtId="0" fontId="31" fillId="0" borderId="1" xfId="0" applyFont="1" applyBorder="1" applyAlignment="1">
      <alignment horizontal="center" vertical="center"/>
    </xf>
    <xf numFmtId="3" fontId="30" fillId="6" borderId="2" xfId="1" applyNumberFormat="1" applyFont="1" applyFill="1" applyBorder="1" applyAlignment="1">
      <alignment horizontal="center" vertical="center"/>
    </xf>
    <xf numFmtId="3" fontId="30" fillId="6" borderId="3" xfId="1" applyNumberFormat="1" applyFont="1" applyFill="1" applyBorder="1" applyAlignment="1">
      <alignment horizontal="center" vertical="center"/>
    </xf>
    <xf numFmtId="3" fontId="30" fillId="6" borderId="4" xfId="1" applyNumberFormat="1" applyFont="1" applyFill="1" applyBorder="1" applyAlignment="1">
      <alignment horizontal="center" vertical="center"/>
    </xf>
    <xf numFmtId="3" fontId="50" fillId="2" borderId="1" xfId="1" applyNumberFormat="1" applyFont="1" applyFill="1" applyBorder="1" applyAlignment="1" applyProtection="1">
      <alignment horizontal="center" vertical="center"/>
      <protection locked="0"/>
    </xf>
    <xf numFmtId="0" fontId="4" fillId="0" borderId="1" xfId="0" applyFont="1" applyBorder="1" applyAlignment="1">
      <alignment horizontal="center" vertical="center" wrapText="1"/>
    </xf>
    <xf numFmtId="10" fontId="8" fillId="2" borderId="1" xfId="2" applyNumberFormat="1" applyFont="1" applyFill="1" applyBorder="1" applyAlignment="1" applyProtection="1">
      <alignment horizontal="center" vertical="center"/>
      <protection locked="0"/>
    </xf>
    <xf numFmtId="0" fontId="43" fillId="6" borderId="0" xfId="0" applyFont="1" applyFill="1" applyAlignment="1">
      <alignment horizontal="left" vertical="center" wrapText="1"/>
    </xf>
    <xf numFmtId="0" fontId="43" fillId="6" borderId="1" xfId="0" applyFont="1" applyFill="1" applyBorder="1" applyAlignment="1">
      <alignment horizontal="center" vertical="center" wrapText="1"/>
    </xf>
    <xf numFmtId="3" fontId="30" fillId="6" borderId="1" xfId="1" applyNumberFormat="1" applyFont="1" applyFill="1" applyBorder="1" applyAlignment="1">
      <alignment horizontal="center" vertical="center"/>
    </xf>
    <xf numFmtId="0" fontId="9" fillId="6" borderId="1" xfId="2" applyNumberFormat="1" applyFont="1" applyFill="1" applyBorder="1" applyAlignment="1">
      <alignment vertical="center" wrapText="1"/>
    </xf>
    <xf numFmtId="0" fontId="48" fillId="6" borderId="1" xfId="0" applyFont="1" applyFill="1" applyBorder="1" applyAlignment="1">
      <alignment horizontal="center" vertical="center" wrapText="1"/>
    </xf>
    <xf numFmtId="166" fontId="48" fillId="0" borderId="1" xfId="0" applyNumberFormat="1" applyFont="1" applyBorder="1" applyAlignment="1">
      <alignment horizontal="center" vertical="center" wrapText="1"/>
    </xf>
    <xf numFmtId="0" fontId="43" fillId="6" borderId="3" xfId="0" applyFont="1" applyFill="1" applyBorder="1" applyAlignment="1">
      <alignment horizontal="left" wrapText="1"/>
    </xf>
    <xf numFmtId="9" fontId="49" fillId="2" borderId="1" xfId="2" applyFont="1" applyFill="1" applyBorder="1" applyAlignment="1" applyProtection="1">
      <alignment vertical="center" wrapText="1"/>
      <protection locked="0"/>
    </xf>
    <xf numFmtId="3" fontId="50" fillId="6" borderId="1" xfId="1" applyNumberFormat="1" applyFont="1" applyFill="1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31" fillId="0" borderId="1" xfId="0" applyFont="1" applyBorder="1" applyAlignment="1">
      <alignment horizontal="center" vertical="center" wrapText="1"/>
    </xf>
    <xf numFmtId="49" fontId="49" fillId="6" borderId="1" xfId="2" applyNumberFormat="1" applyFont="1" applyFill="1" applyBorder="1" applyAlignment="1">
      <alignment horizontal="left" vertical="center" wrapText="1"/>
    </xf>
    <xf numFmtId="10" fontId="50" fillId="6" borderId="1" xfId="2" applyNumberFormat="1" applyFont="1" applyFill="1" applyBorder="1" applyAlignment="1">
      <alignment horizontal="center" vertical="center"/>
    </xf>
    <xf numFmtId="0" fontId="2" fillId="0" borderId="5" xfId="0" applyFont="1" applyBorder="1" applyAlignment="1">
      <alignment horizontal="center" vertical="center" wrapText="1"/>
    </xf>
    <xf numFmtId="0" fontId="4" fillId="6" borderId="1" xfId="0" applyFont="1" applyFill="1" applyBorder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0" fontId="5" fillId="0" borderId="8" xfId="0" applyFont="1" applyBorder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0" fontId="5" fillId="0" borderId="8" xfId="0" applyFont="1" applyBorder="1" applyAlignment="1">
      <alignment horizontal="center" vertical="center"/>
    </xf>
    <xf numFmtId="9" fontId="8" fillId="0" borderId="0" xfId="2" applyFont="1" applyAlignment="1">
      <alignment horizontal="center" vertical="center" wrapText="1"/>
    </xf>
    <xf numFmtId="3" fontId="7" fillId="0" borderId="2" xfId="1" applyNumberFormat="1" applyFont="1" applyBorder="1" applyAlignment="1">
      <alignment horizontal="center" vertical="center"/>
    </xf>
    <xf numFmtId="3" fontId="7" fillId="0" borderId="3" xfId="1" applyNumberFormat="1" applyFont="1" applyBorder="1" applyAlignment="1">
      <alignment horizontal="center" vertical="center"/>
    </xf>
    <xf numFmtId="3" fontId="7" fillId="0" borderId="4" xfId="1" applyNumberFormat="1" applyFont="1" applyBorder="1" applyAlignment="1">
      <alignment horizontal="center" vertical="center"/>
    </xf>
    <xf numFmtId="0" fontId="0" fillId="0" borderId="3" xfId="0" applyBorder="1" applyAlignment="1">
      <alignment horizontal="center"/>
    </xf>
    <xf numFmtId="9" fontId="7" fillId="0" borderId="1" xfId="2" applyFont="1" applyBorder="1" applyAlignment="1">
      <alignment horizontal="center" vertical="center"/>
    </xf>
    <xf numFmtId="3" fontId="7" fillId="6" borderId="1" xfId="1" applyNumberFormat="1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3" fontId="8" fillId="6" borderId="1" xfId="1" applyNumberFormat="1" applyFont="1" applyFill="1" applyBorder="1" applyAlignment="1">
      <alignment horizontal="center" vertical="center"/>
    </xf>
    <xf numFmtId="0" fontId="29" fillId="0" borderId="0" xfId="0" applyFont="1" applyAlignment="1">
      <alignment horizontal="right" vertical="center"/>
    </xf>
    <xf numFmtId="0" fontId="0" fillId="6" borderId="3" xfId="0" applyFill="1" applyBorder="1" applyAlignment="1">
      <alignment horizontal="left" vertical="center" wrapText="1"/>
    </xf>
    <xf numFmtId="0" fontId="29" fillId="0" borderId="0" xfId="0" applyFont="1" applyAlignment="1">
      <alignment horizontal="left" vertical="center"/>
    </xf>
    <xf numFmtId="3" fontId="9" fillId="6" borderId="1" xfId="2" applyNumberFormat="1" applyFont="1" applyFill="1" applyBorder="1" applyAlignment="1">
      <alignment horizontal="left" vertical="center" wrapText="1"/>
    </xf>
    <xf numFmtId="3" fontId="7" fillId="0" borderId="1" xfId="1" applyNumberFormat="1" applyFont="1" applyBorder="1" applyAlignment="1">
      <alignment horizontal="center" vertical="center"/>
    </xf>
    <xf numFmtId="3" fontId="30" fillId="6" borderId="7" xfId="1" applyNumberFormat="1" applyFont="1" applyFill="1" applyBorder="1" applyAlignment="1">
      <alignment horizontal="center" vertical="center"/>
    </xf>
    <xf numFmtId="0" fontId="43" fillId="6" borderId="5" xfId="0" applyFont="1" applyFill="1" applyBorder="1" applyAlignment="1">
      <alignment horizontal="left" wrapText="1"/>
    </xf>
    <xf numFmtId="0" fontId="32" fillId="0" borderId="8" xfId="0" applyFont="1" applyBorder="1" applyAlignment="1">
      <alignment horizontal="left" vertical="center"/>
    </xf>
    <xf numFmtId="0" fontId="39" fillId="4" borderId="0" xfId="0" applyFont="1" applyFill="1" applyAlignment="1">
      <alignment horizontal="center" vertical="center" wrapText="1"/>
    </xf>
    <xf numFmtId="0" fontId="39" fillId="4" borderId="9" xfId="0" applyFont="1" applyFill="1" applyBorder="1" applyAlignment="1">
      <alignment horizontal="center" vertical="center" wrapText="1"/>
    </xf>
    <xf numFmtId="0" fontId="35" fillId="6" borderId="2" xfId="3" applyFont="1" applyFill="1" applyBorder="1" applyAlignment="1">
      <alignment horizontal="center" vertical="center" wrapText="1"/>
    </xf>
    <xf numFmtId="0" fontId="35" fillId="6" borderId="3" xfId="3" applyFont="1" applyFill="1" applyBorder="1" applyAlignment="1">
      <alignment horizontal="center" vertical="center" wrapText="1"/>
    </xf>
    <xf numFmtId="0" fontId="35" fillId="6" borderId="4" xfId="3" applyFont="1" applyFill="1" applyBorder="1" applyAlignment="1">
      <alignment horizontal="center" vertical="center" wrapText="1"/>
    </xf>
    <xf numFmtId="0" fontId="35" fillId="0" borderId="2" xfId="3" applyFont="1" applyBorder="1" applyAlignment="1">
      <alignment horizontal="center" vertical="center" wrapText="1"/>
    </xf>
    <xf numFmtId="0" fontId="35" fillId="0" borderId="3" xfId="3" applyFont="1" applyBorder="1" applyAlignment="1">
      <alignment horizontal="center" vertical="center" wrapText="1"/>
    </xf>
    <xf numFmtId="0" fontId="35" fillId="0" borderId="4" xfId="3" applyFont="1" applyBorder="1" applyAlignment="1">
      <alignment horizontal="center" vertical="center" wrapText="1"/>
    </xf>
    <xf numFmtId="0" fontId="35" fillId="0" borderId="1" xfId="3" applyFont="1" applyBorder="1" applyAlignment="1">
      <alignment horizontal="center" vertical="center" wrapText="1"/>
    </xf>
  </cellXfs>
  <cellStyles count="8">
    <cellStyle name="Excel Built-in Percent" xfId="7" xr:uid="{C471AF28-417C-4CE1-825E-9A4A73C3E082}"/>
    <cellStyle name="Обычный" xfId="0" builtinId="0"/>
    <cellStyle name="Обычный 2" xfId="6" xr:uid="{00D99893-75DE-4D4F-A67E-16D1B484539C}"/>
    <cellStyle name="Обычный_7.1. ТЭО (RH)" xfId="3" xr:uid="{00000000-0005-0000-0000-000001000000}"/>
    <cellStyle name="Процентный" xfId="2" builtinId="5"/>
    <cellStyle name="Процентный 2" xfId="4" xr:uid="{00000000-0005-0000-0000-000003000000}"/>
    <cellStyle name="Финансовый" xfId="1" builtinId="3"/>
    <cellStyle name="Финансовый 2" xfId="5" xr:uid="{00000000-0005-0000-0000-000005000000}"/>
  </cellStyles>
  <dxfs count="26"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3.xml"/><Relationship Id="rId5" Type="http://schemas.openxmlformats.org/officeDocument/2006/relationships/externalLink" Target="externalLinks/externalLink2.xml"/><Relationship Id="rId10" Type="http://schemas.openxmlformats.org/officeDocument/2006/relationships/calcChain" Target="calcChain.xml"/><Relationship Id="rId4" Type="http://schemas.openxmlformats.org/officeDocument/2006/relationships/externalLink" Target="externalLinks/externalLink1.xml"/><Relationship Id="rId9" Type="http://schemas.openxmlformats.org/officeDocument/2006/relationships/sharedStrings" Target="sharedStrings.xml"/></Relationships>
</file>

<file path=xl/ctrlProps/ctrlProp1.xml><?xml version="1.0" encoding="utf-8"?>
<formControlPr xmlns="http://schemas.microsoft.com/office/spreadsheetml/2009/9/main" objectType="Drop" dropLines="4" dropStyle="combo" dx="22" fmlaLink="$N$2" fmlaRange="$O$2:$O$5" sel="2" val="0"/>
</file>

<file path=xl/ctrlProps/ctrlProp2.xml><?xml version="1.0" encoding="utf-8"?>
<formControlPr xmlns="http://schemas.microsoft.com/office/spreadsheetml/2009/9/main" objectType="Drop" dropLines="12" dropStyle="combo" dx="22" fmlaLink="P$2" fmlaRange="$Q$2:$Q$13" sel="1" val="0"/>
</file>

<file path=xl/ctrlProps/ctrlProp3.xml><?xml version="1.0" encoding="utf-8"?>
<formControlPr xmlns="http://schemas.microsoft.com/office/spreadsheetml/2009/9/main" objectType="Drop" dropLines="2" dropStyle="combo" dx="22" fmlaLink="$L$1" fmlaRange="$M$1:$M$2" sel="2" val="0"/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13" Type="http://schemas.openxmlformats.org/officeDocument/2006/relationships/image" Target="../media/image12.png"/><Relationship Id="rId3" Type="http://schemas.openxmlformats.org/officeDocument/2006/relationships/image" Target="../media/image2.png"/><Relationship Id="rId7" Type="http://schemas.openxmlformats.org/officeDocument/2006/relationships/image" Target="../media/image6.png"/><Relationship Id="rId12" Type="http://schemas.openxmlformats.org/officeDocument/2006/relationships/image" Target="../media/image11.png"/><Relationship Id="rId17" Type="http://schemas.openxmlformats.org/officeDocument/2006/relationships/image" Target="../media/image16.png"/><Relationship Id="rId2" Type="http://schemas.openxmlformats.org/officeDocument/2006/relationships/image" Target="../media/image14.png"/><Relationship Id="rId16" Type="http://schemas.openxmlformats.org/officeDocument/2006/relationships/image" Target="../media/image15.png"/><Relationship Id="rId1" Type="http://schemas.openxmlformats.org/officeDocument/2006/relationships/image" Target="../media/image1.png"/><Relationship Id="rId6" Type="http://schemas.openxmlformats.org/officeDocument/2006/relationships/image" Target="../media/image5.png"/><Relationship Id="rId11" Type="http://schemas.openxmlformats.org/officeDocument/2006/relationships/image" Target="../media/image10.png"/><Relationship Id="rId5" Type="http://schemas.openxmlformats.org/officeDocument/2006/relationships/image" Target="../media/image4.png"/><Relationship Id="rId15" Type="http://schemas.openxmlformats.org/officeDocument/2006/relationships/image" Target="../media/image17.png"/><Relationship Id="rId10" Type="http://schemas.openxmlformats.org/officeDocument/2006/relationships/image" Target="../media/image9.png"/><Relationship Id="rId4" Type="http://schemas.openxmlformats.org/officeDocument/2006/relationships/image" Target="../media/image3.png"/><Relationship Id="rId9" Type="http://schemas.openxmlformats.org/officeDocument/2006/relationships/image" Target="../media/image8.png"/><Relationship Id="rId14" Type="http://schemas.openxmlformats.org/officeDocument/2006/relationships/image" Target="../media/image1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75</xdr:row>
      <xdr:rowOff>26175</xdr:rowOff>
    </xdr:from>
    <xdr:to>
      <xdr:col>0</xdr:col>
      <xdr:colOff>542100</xdr:colOff>
      <xdr:row>75</xdr:row>
      <xdr:rowOff>530175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25657950"/>
          <a:ext cx="504000" cy="504000"/>
        </a:xfrm>
        <a:prstGeom prst="rect">
          <a:avLst/>
        </a:prstGeom>
      </xdr:spPr>
    </xdr:pic>
    <xdr:clientData/>
  </xdr:twoCellAnchor>
  <xdr:twoCellAnchor editAs="oneCell">
    <xdr:from>
      <xdr:col>0</xdr:col>
      <xdr:colOff>49875</xdr:colOff>
      <xdr:row>76</xdr:row>
      <xdr:rowOff>21300</xdr:rowOff>
    </xdr:from>
    <xdr:to>
      <xdr:col>0</xdr:col>
      <xdr:colOff>553875</xdr:colOff>
      <xdr:row>76</xdr:row>
      <xdr:rowOff>525300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875" y="26186475"/>
          <a:ext cx="504000" cy="504000"/>
        </a:xfrm>
        <a:prstGeom prst="rect">
          <a:avLst/>
        </a:prstGeom>
      </xdr:spPr>
    </xdr:pic>
    <xdr:clientData/>
  </xdr:twoCellAnchor>
  <xdr:twoCellAnchor editAs="oneCell">
    <xdr:from>
      <xdr:col>0</xdr:col>
      <xdr:colOff>42867</xdr:colOff>
      <xdr:row>53</xdr:row>
      <xdr:rowOff>28578</xdr:rowOff>
    </xdr:from>
    <xdr:to>
      <xdr:col>0</xdr:col>
      <xdr:colOff>546867</xdr:colOff>
      <xdr:row>53</xdr:row>
      <xdr:rowOff>532578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867" y="13158791"/>
          <a:ext cx="504000" cy="504000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704850</xdr:colOff>
          <xdr:row>2</xdr:row>
          <xdr:rowOff>57150</xdr:rowOff>
        </xdr:from>
        <xdr:to>
          <xdr:col>4</xdr:col>
          <xdr:colOff>956310</xdr:colOff>
          <xdr:row>2</xdr:row>
          <xdr:rowOff>342900</xdr:rowOff>
        </xdr:to>
        <xdr:sp macro="" textlink="">
          <xdr:nvSpPr>
            <xdr:cNvPr id="4097" name="Drop Down 1" hidden="1">
              <a:extLst>
                <a:ext uri="{63B3BB69-23CF-44E3-9099-C40C66FF867C}">
                  <a14:compatExt spid="_x0000_s4097"/>
                </a:ext>
                <a:ext uri="{FF2B5EF4-FFF2-40B4-BE49-F238E27FC236}">
                  <a16:creationId xmlns:a16="http://schemas.microsoft.com/office/drawing/2014/main" id="{00000000-0008-0000-0000-00000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xdr:twoCellAnchor editAs="oneCell">
    <xdr:from>
      <xdr:col>0</xdr:col>
      <xdr:colOff>47622</xdr:colOff>
      <xdr:row>51</xdr:row>
      <xdr:rowOff>12814</xdr:rowOff>
    </xdr:from>
    <xdr:to>
      <xdr:col>0</xdr:col>
      <xdr:colOff>551622</xdr:colOff>
      <xdr:row>51</xdr:row>
      <xdr:rowOff>516815</xdr:rowOff>
    </xdr:to>
    <xdr:pic>
      <xdr:nvPicPr>
        <xdr:cNvPr id="31" name="Рисунок 30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2" y="12133377"/>
          <a:ext cx="504000" cy="504001"/>
        </a:xfrm>
        <a:prstGeom prst="rect">
          <a:avLst/>
        </a:prstGeom>
      </xdr:spPr>
    </xdr:pic>
    <xdr:clientData/>
  </xdr:twoCellAnchor>
  <xdr:twoCellAnchor editAs="oneCell">
    <xdr:from>
      <xdr:col>0</xdr:col>
      <xdr:colOff>50426</xdr:colOff>
      <xdr:row>52</xdr:row>
      <xdr:rowOff>23815</xdr:rowOff>
    </xdr:from>
    <xdr:to>
      <xdr:col>0</xdr:col>
      <xdr:colOff>554426</xdr:colOff>
      <xdr:row>52</xdr:row>
      <xdr:rowOff>523331</xdr:rowOff>
    </xdr:to>
    <xdr:pic>
      <xdr:nvPicPr>
        <xdr:cNvPr id="33" name="Рисунок 32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426" y="12649203"/>
          <a:ext cx="504000" cy="499516"/>
        </a:xfrm>
        <a:prstGeom prst="rect">
          <a:avLst/>
        </a:prstGeom>
      </xdr:spPr>
    </xdr:pic>
    <xdr:clientData/>
  </xdr:twoCellAnchor>
  <xdr:twoCellAnchor editAs="oneCell">
    <xdr:from>
      <xdr:col>0</xdr:col>
      <xdr:colOff>47624</xdr:colOff>
      <xdr:row>45</xdr:row>
      <xdr:rowOff>0</xdr:rowOff>
    </xdr:from>
    <xdr:to>
      <xdr:col>0</xdr:col>
      <xdr:colOff>551624</xdr:colOff>
      <xdr:row>45</xdr:row>
      <xdr:rowOff>504000</xdr:rowOff>
    </xdr:to>
    <xdr:pic>
      <xdr:nvPicPr>
        <xdr:cNvPr id="43" name="Рисунок 42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4" y="8353425"/>
          <a:ext cx="504000" cy="504000"/>
        </a:xfrm>
        <a:prstGeom prst="rect">
          <a:avLst/>
        </a:prstGeom>
      </xdr:spPr>
    </xdr:pic>
    <xdr:clientData/>
  </xdr:twoCellAnchor>
  <xdr:twoCellAnchor editAs="oneCell">
    <xdr:from>
      <xdr:col>0</xdr:col>
      <xdr:colOff>47623</xdr:colOff>
      <xdr:row>50</xdr:row>
      <xdr:rowOff>90</xdr:rowOff>
    </xdr:from>
    <xdr:to>
      <xdr:col>0</xdr:col>
      <xdr:colOff>551623</xdr:colOff>
      <xdr:row>50</xdr:row>
      <xdr:rowOff>504091</xdr:rowOff>
    </xdr:to>
    <xdr:pic>
      <xdr:nvPicPr>
        <xdr:cNvPr id="44" name="Рисунок 43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3" y="11615828"/>
          <a:ext cx="504000" cy="504001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68</xdr:row>
      <xdr:rowOff>19050</xdr:rowOff>
    </xdr:from>
    <xdr:to>
      <xdr:col>0</xdr:col>
      <xdr:colOff>551625</xdr:colOff>
      <xdr:row>68</xdr:row>
      <xdr:rowOff>523050</xdr:rowOff>
    </xdr:to>
    <xdr:pic>
      <xdr:nvPicPr>
        <xdr:cNvPr id="50" name="Рисунок 49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22983825"/>
          <a:ext cx="504000" cy="504000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685800</xdr:colOff>
          <xdr:row>3</xdr:row>
          <xdr:rowOff>49530</xdr:rowOff>
        </xdr:from>
        <xdr:to>
          <xdr:col>4</xdr:col>
          <xdr:colOff>963930</xdr:colOff>
          <xdr:row>3</xdr:row>
          <xdr:rowOff>342900</xdr:rowOff>
        </xdr:to>
        <xdr:sp macro="" textlink="">
          <xdr:nvSpPr>
            <xdr:cNvPr id="4098" name="Drop Down 2" hidden="1">
              <a:extLst>
                <a:ext uri="{63B3BB69-23CF-44E3-9099-C40C66FF867C}">
                  <a14:compatExt spid="_x0000_s4098"/>
                </a:ext>
                <a:ext uri="{FF2B5EF4-FFF2-40B4-BE49-F238E27FC236}">
                  <a16:creationId xmlns:a16="http://schemas.microsoft.com/office/drawing/2014/main" id="{00000000-0008-0000-0000-00000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xdr:twoCellAnchor editAs="oneCell">
    <xdr:from>
      <xdr:col>0</xdr:col>
      <xdr:colOff>44824</xdr:colOff>
      <xdr:row>66</xdr:row>
      <xdr:rowOff>22412</xdr:rowOff>
    </xdr:from>
    <xdr:to>
      <xdr:col>0</xdr:col>
      <xdr:colOff>548824</xdr:colOff>
      <xdr:row>66</xdr:row>
      <xdr:rowOff>526412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44824" y="26176941"/>
          <a:ext cx="504000" cy="504000"/>
        </a:xfrm>
        <a:prstGeom prst="rect">
          <a:avLst/>
        </a:prstGeom>
      </xdr:spPr>
    </xdr:pic>
    <xdr:clientData/>
  </xdr:twoCellAnchor>
  <xdr:twoCellAnchor editAs="oneCell">
    <xdr:from>
      <xdr:col>0</xdr:col>
      <xdr:colOff>56030</xdr:colOff>
      <xdr:row>48</xdr:row>
      <xdr:rowOff>0</xdr:rowOff>
    </xdr:from>
    <xdr:to>
      <xdr:col>0</xdr:col>
      <xdr:colOff>560030</xdr:colOff>
      <xdr:row>48</xdr:row>
      <xdr:rowOff>504561</xdr:rowOff>
    </xdr:to>
    <xdr:pic>
      <xdr:nvPicPr>
        <xdr:cNvPr id="29" name="Рисунок 28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56030" y="11107830"/>
          <a:ext cx="504000" cy="504561"/>
        </a:xfrm>
        <a:prstGeom prst="rect">
          <a:avLst/>
        </a:prstGeom>
      </xdr:spPr>
    </xdr:pic>
    <xdr:clientData/>
  </xdr:twoCellAnchor>
  <xdr:twoCellAnchor editAs="oneCell">
    <xdr:from>
      <xdr:col>0</xdr:col>
      <xdr:colOff>47630</xdr:colOff>
      <xdr:row>65</xdr:row>
      <xdr:rowOff>0</xdr:rowOff>
    </xdr:from>
    <xdr:to>
      <xdr:col>0</xdr:col>
      <xdr:colOff>551630</xdr:colOff>
      <xdr:row>65</xdr:row>
      <xdr:rowOff>506721</xdr:rowOff>
    </xdr:to>
    <xdr:pic>
      <xdr:nvPicPr>
        <xdr:cNvPr id="28" name="Рисунок 27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30" y="18030825"/>
          <a:ext cx="504000" cy="506721"/>
        </a:xfrm>
        <a:prstGeom prst="rect">
          <a:avLst/>
        </a:prstGeom>
      </xdr:spPr>
    </xdr:pic>
    <xdr:clientData/>
  </xdr:twoCellAnchor>
  <xdr:twoCellAnchor editAs="oneCell">
    <xdr:from>
      <xdr:col>0</xdr:col>
      <xdr:colOff>47630</xdr:colOff>
      <xdr:row>64</xdr:row>
      <xdr:rowOff>4763</xdr:rowOff>
    </xdr:from>
    <xdr:to>
      <xdr:col>0</xdr:col>
      <xdr:colOff>551630</xdr:colOff>
      <xdr:row>64</xdr:row>
      <xdr:rowOff>511485</xdr:rowOff>
    </xdr:to>
    <xdr:pic>
      <xdr:nvPicPr>
        <xdr:cNvPr id="37" name="Рисунок 36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47630" y="25241251"/>
          <a:ext cx="504000" cy="506722"/>
        </a:xfrm>
        <a:prstGeom prst="rect">
          <a:avLst/>
        </a:prstGeom>
      </xdr:spPr>
    </xdr:pic>
    <xdr:clientData/>
  </xdr:twoCellAnchor>
  <xdr:oneCellAnchor>
    <xdr:from>
      <xdr:col>0</xdr:col>
      <xdr:colOff>52393</xdr:colOff>
      <xdr:row>46</xdr:row>
      <xdr:rowOff>21775</xdr:rowOff>
    </xdr:from>
    <xdr:ext cx="504000" cy="504000"/>
    <xdr:pic>
      <xdr:nvPicPr>
        <xdr:cNvPr id="34" name="Рисунок 33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52393" y="25331061"/>
          <a:ext cx="504000" cy="504000"/>
        </a:xfrm>
        <a:prstGeom prst="rect">
          <a:avLst/>
        </a:prstGeom>
      </xdr:spPr>
    </xdr:pic>
    <xdr:clientData/>
  </xdr:oneCellAnchor>
  <xdr:twoCellAnchor editAs="oneCell">
    <xdr:from>
      <xdr:col>0</xdr:col>
      <xdr:colOff>32658</xdr:colOff>
      <xdr:row>48</xdr:row>
      <xdr:rowOff>527957</xdr:rowOff>
    </xdr:from>
    <xdr:to>
      <xdr:col>0</xdr:col>
      <xdr:colOff>536658</xdr:colOff>
      <xdr:row>49</xdr:row>
      <xdr:rowOff>494073</xdr:rowOff>
    </xdr:to>
    <xdr:pic>
      <xdr:nvPicPr>
        <xdr:cNvPr id="30" name="Рисунок 29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658" y="18625457"/>
          <a:ext cx="504000" cy="499516"/>
        </a:xfrm>
        <a:prstGeom prst="rect">
          <a:avLst/>
        </a:prstGeom>
      </xdr:spPr>
    </xdr:pic>
    <xdr:clientData/>
  </xdr:twoCellAnchor>
  <xdr:oneCellAnchor>
    <xdr:from>
      <xdr:col>0</xdr:col>
      <xdr:colOff>38101</xdr:colOff>
      <xdr:row>70</xdr:row>
      <xdr:rowOff>317500</xdr:rowOff>
    </xdr:from>
    <xdr:ext cx="504000" cy="504000"/>
    <xdr:pic>
      <xdr:nvPicPr>
        <xdr:cNvPr id="35" name="Рисунок 34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1" y="48113950"/>
          <a:ext cx="504000" cy="504000"/>
        </a:xfrm>
        <a:prstGeom prst="rect">
          <a:avLst/>
        </a:prstGeom>
      </xdr:spPr>
    </xdr:pic>
    <xdr:clientData/>
  </xdr:oneCellAnchor>
  <xdr:twoCellAnchor editAs="oneCell">
    <xdr:from>
      <xdr:col>0</xdr:col>
      <xdr:colOff>31750</xdr:colOff>
      <xdr:row>47</xdr:row>
      <xdr:rowOff>0</xdr:rowOff>
    </xdr:from>
    <xdr:to>
      <xdr:col>0</xdr:col>
      <xdr:colOff>535750</xdr:colOff>
      <xdr:row>47</xdr:row>
      <xdr:rowOff>499516</xdr:rowOff>
    </xdr:to>
    <xdr:pic>
      <xdr:nvPicPr>
        <xdr:cNvPr id="46" name="Рисунок 45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50" y="30327600"/>
          <a:ext cx="504000" cy="499516"/>
        </a:xfrm>
        <a:prstGeom prst="rect">
          <a:avLst/>
        </a:prstGeom>
      </xdr:spPr>
    </xdr:pic>
    <xdr:clientData/>
  </xdr:twoCellAnchor>
  <xdr:twoCellAnchor editAs="oneCell">
    <xdr:from>
      <xdr:col>0</xdr:col>
      <xdr:colOff>52274</xdr:colOff>
      <xdr:row>73</xdr:row>
      <xdr:rowOff>23700</xdr:rowOff>
    </xdr:from>
    <xdr:to>
      <xdr:col>0</xdr:col>
      <xdr:colOff>592274</xdr:colOff>
      <xdr:row>73</xdr:row>
      <xdr:rowOff>515580</xdr:rowOff>
    </xdr:to>
    <xdr:pic>
      <xdr:nvPicPr>
        <xdr:cNvPr id="47" name="Рисунок 46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274" y="40741170"/>
          <a:ext cx="540000" cy="491880"/>
        </a:xfrm>
        <a:prstGeom prst="rect">
          <a:avLst/>
        </a:prstGeom>
      </xdr:spPr>
    </xdr:pic>
    <xdr:clientData/>
  </xdr:twoCellAnchor>
  <xdr:oneCellAnchor>
    <xdr:from>
      <xdr:col>0</xdr:col>
      <xdr:colOff>52274</xdr:colOff>
      <xdr:row>74</xdr:row>
      <xdr:rowOff>23700</xdr:rowOff>
    </xdr:from>
    <xdr:ext cx="540000" cy="491880"/>
    <xdr:pic>
      <xdr:nvPicPr>
        <xdr:cNvPr id="48" name="Рисунок 47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274" y="41830830"/>
          <a:ext cx="540000" cy="491880"/>
        </a:xfrm>
        <a:prstGeom prst="rect">
          <a:avLst/>
        </a:prstGeom>
      </xdr:spPr>
    </xdr:pic>
    <xdr:clientData/>
  </xdr:oneCellAnchor>
  <xdr:oneCellAnchor>
    <xdr:from>
      <xdr:col>0</xdr:col>
      <xdr:colOff>52274</xdr:colOff>
      <xdr:row>72</xdr:row>
      <xdr:rowOff>23700</xdr:rowOff>
    </xdr:from>
    <xdr:ext cx="540000" cy="491880"/>
    <xdr:pic>
      <xdr:nvPicPr>
        <xdr:cNvPr id="49" name="Рисунок 48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274" y="40196340"/>
          <a:ext cx="540000" cy="491880"/>
        </a:xfrm>
        <a:prstGeom prst="rect">
          <a:avLst/>
        </a:prstGeom>
      </xdr:spPr>
    </xdr:pic>
    <xdr:clientData/>
  </xdr:oneCellAnchor>
  <xdr:oneCellAnchor>
    <xdr:from>
      <xdr:col>0</xdr:col>
      <xdr:colOff>50800</xdr:colOff>
      <xdr:row>67</xdr:row>
      <xdr:rowOff>0</xdr:rowOff>
    </xdr:from>
    <xdr:ext cx="504000" cy="504000"/>
    <xdr:pic>
      <xdr:nvPicPr>
        <xdr:cNvPr id="40" name="Рисунок 39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50800" y="37026850"/>
          <a:ext cx="504000" cy="504000"/>
        </a:xfrm>
        <a:prstGeom prst="rect">
          <a:avLst/>
        </a:prstGeom>
      </xdr:spPr>
    </xdr:pic>
    <xdr:clientData/>
  </xdr:oneCellAnchor>
  <xdr:oneCellAnchor>
    <xdr:from>
      <xdr:col>0</xdr:col>
      <xdr:colOff>44450</xdr:colOff>
      <xdr:row>69</xdr:row>
      <xdr:rowOff>6350</xdr:rowOff>
    </xdr:from>
    <xdr:ext cx="504000" cy="504000"/>
    <xdr:pic>
      <xdr:nvPicPr>
        <xdr:cNvPr id="42" name="Рисунок 41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450" y="38760400"/>
          <a:ext cx="504000" cy="504000"/>
        </a:xfrm>
        <a:prstGeom prst="rect">
          <a:avLst/>
        </a:prstGeom>
      </xdr:spPr>
    </xdr:pic>
    <xdr:clientData/>
  </xdr:oneCellAnchor>
  <xdr:oneCellAnchor>
    <xdr:from>
      <xdr:col>0</xdr:col>
      <xdr:colOff>47625</xdr:colOff>
      <xdr:row>63</xdr:row>
      <xdr:rowOff>9525</xdr:rowOff>
    </xdr:from>
    <xdr:ext cx="504000" cy="504000"/>
    <xdr:pic>
      <xdr:nvPicPr>
        <xdr:cNvPr id="36" name="Рисунок 35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37099875"/>
          <a:ext cx="504000" cy="504000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38100</xdr:colOff>
      <xdr:row>35</xdr:row>
      <xdr:rowOff>26175</xdr:rowOff>
    </xdr:from>
    <xdr:ext cx="504000" cy="504000"/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17399775"/>
          <a:ext cx="504000" cy="504000"/>
        </a:xfrm>
        <a:prstGeom prst="rect">
          <a:avLst/>
        </a:prstGeom>
      </xdr:spPr>
    </xdr:pic>
    <xdr:clientData/>
  </xdr:oneCellAnchor>
  <xdr:oneCellAnchor>
    <xdr:from>
      <xdr:col>0</xdr:col>
      <xdr:colOff>52274</xdr:colOff>
      <xdr:row>34</xdr:row>
      <xdr:rowOff>23700</xdr:rowOff>
    </xdr:from>
    <xdr:ext cx="540000" cy="491880"/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274" y="17214420"/>
          <a:ext cx="540000" cy="491880"/>
        </a:xfrm>
        <a:prstGeom prst="rect">
          <a:avLst/>
        </a:prstGeom>
      </xdr:spPr>
    </xdr:pic>
    <xdr:clientData/>
  </xdr:oneCellAnchor>
  <xdr:oneCellAnchor>
    <xdr:from>
      <xdr:col>0</xdr:col>
      <xdr:colOff>49875</xdr:colOff>
      <xdr:row>36</xdr:row>
      <xdr:rowOff>21300</xdr:rowOff>
    </xdr:from>
    <xdr:ext cx="504000" cy="504000"/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875" y="17577780"/>
          <a:ext cx="504000" cy="504000"/>
        </a:xfrm>
        <a:prstGeom prst="rect">
          <a:avLst/>
        </a:prstGeom>
      </xdr:spPr>
    </xdr:pic>
    <xdr:clientData/>
  </xdr:oneCellAnchor>
  <xdr:oneCellAnchor>
    <xdr:from>
      <xdr:col>0</xdr:col>
      <xdr:colOff>42867</xdr:colOff>
      <xdr:row>16</xdr:row>
      <xdr:rowOff>28578</xdr:rowOff>
    </xdr:from>
    <xdr:ext cx="504000" cy="504000"/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867" y="12098658"/>
          <a:ext cx="504000" cy="504000"/>
        </a:xfrm>
        <a:prstGeom prst="rect">
          <a:avLst/>
        </a:prstGeom>
      </xdr:spPr>
    </xdr:pic>
    <xdr:clientData/>
  </xdr:oneCellAnchor>
  <xdr:oneCellAnchor>
    <xdr:from>
      <xdr:col>0</xdr:col>
      <xdr:colOff>47622</xdr:colOff>
      <xdr:row>14</xdr:row>
      <xdr:rowOff>12814</xdr:rowOff>
    </xdr:from>
    <xdr:ext cx="504000" cy="504001"/>
    <xdr:pic>
      <xdr:nvPicPr>
        <xdr:cNvPr id="8" name="Рисунок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2" y="11534254"/>
          <a:ext cx="504000" cy="504001"/>
        </a:xfrm>
        <a:prstGeom prst="rect">
          <a:avLst/>
        </a:prstGeom>
      </xdr:spPr>
    </xdr:pic>
    <xdr:clientData/>
  </xdr:oneCellAnchor>
  <xdr:oneCellAnchor>
    <xdr:from>
      <xdr:col>0</xdr:col>
      <xdr:colOff>50426</xdr:colOff>
      <xdr:row>15</xdr:row>
      <xdr:rowOff>23815</xdr:rowOff>
    </xdr:from>
    <xdr:ext cx="504000" cy="499516"/>
    <xdr:pic>
      <xdr:nvPicPr>
        <xdr:cNvPr id="9" name="Рисунок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426" y="11728135"/>
          <a:ext cx="504000" cy="499516"/>
        </a:xfrm>
        <a:prstGeom prst="rect">
          <a:avLst/>
        </a:prstGeom>
      </xdr:spPr>
    </xdr:pic>
    <xdr:clientData/>
  </xdr:oneCellAnchor>
  <xdr:oneCellAnchor>
    <xdr:from>
      <xdr:col>0</xdr:col>
      <xdr:colOff>47624</xdr:colOff>
      <xdr:row>8</xdr:row>
      <xdr:rowOff>0</xdr:rowOff>
    </xdr:from>
    <xdr:ext cx="504000" cy="504000"/>
    <xdr:pic>
      <xdr:nvPicPr>
        <xdr:cNvPr id="10" name="Рисунок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4" y="10058400"/>
          <a:ext cx="504000" cy="504000"/>
        </a:xfrm>
        <a:prstGeom prst="rect">
          <a:avLst/>
        </a:prstGeom>
      </xdr:spPr>
    </xdr:pic>
    <xdr:clientData/>
  </xdr:oneCellAnchor>
  <xdr:oneCellAnchor>
    <xdr:from>
      <xdr:col>0</xdr:col>
      <xdr:colOff>47623</xdr:colOff>
      <xdr:row>13</xdr:row>
      <xdr:rowOff>90</xdr:rowOff>
    </xdr:from>
    <xdr:ext cx="504000" cy="504001"/>
    <xdr:pic>
      <xdr:nvPicPr>
        <xdr:cNvPr id="11" name="Рисунок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3" y="11338650"/>
          <a:ext cx="504000" cy="504001"/>
        </a:xfrm>
        <a:prstGeom prst="rect">
          <a:avLst/>
        </a:prstGeom>
      </xdr:spPr>
    </xdr:pic>
    <xdr:clientData/>
  </xdr:oneCellAnchor>
  <xdr:oneCellAnchor>
    <xdr:from>
      <xdr:col>0</xdr:col>
      <xdr:colOff>47625</xdr:colOff>
      <xdr:row>30</xdr:row>
      <xdr:rowOff>19050</xdr:rowOff>
    </xdr:from>
    <xdr:ext cx="504000" cy="504000"/>
    <xdr:pic>
      <xdr:nvPicPr>
        <xdr:cNvPr id="12" name="Рисунок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16844010"/>
          <a:ext cx="504000" cy="504000"/>
        </a:xfrm>
        <a:prstGeom prst="rect">
          <a:avLst/>
        </a:prstGeom>
      </xdr:spPr>
    </xdr:pic>
    <xdr:clientData/>
  </xdr:oneCellAnchor>
  <xdr:oneCellAnchor>
    <xdr:from>
      <xdr:col>0</xdr:col>
      <xdr:colOff>44824</xdr:colOff>
      <xdr:row>28</xdr:row>
      <xdr:rowOff>22412</xdr:rowOff>
    </xdr:from>
    <xdr:ext cx="504000" cy="504000"/>
    <xdr:pic>
      <xdr:nvPicPr>
        <xdr:cNvPr id="14" name="Рисунок 13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44824" y="16115852"/>
          <a:ext cx="504000" cy="504000"/>
        </a:xfrm>
        <a:prstGeom prst="rect">
          <a:avLst/>
        </a:prstGeom>
      </xdr:spPr>
    </xdr:pic>
    <xdr:clientData/>
  </xdr:oneCellAnchor>
  <xdr:oneCellAnchor>
    <xdr:from>
      <xdr:col>0</xdr:col>
      <xdr:colOff>56030</xdr:colOff>
      <xdr:row>11</xdr:row>
      <xdr:rowOff>0</xdr:rowOff>
    </xdr:from>
    <xdr:ext cx="504000" cy="504561"/>
    <xdr:pic>
      <xdr:nvPicPr>
        <xdr:cNvPr id="15" name="Рисунок 14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56030" y="11154502"/>
          <a:ext cx="504000" cy="504561"/>
        </a:xfrm>
        <a:prstGeom prst="rect">
          <a:avLst/>
        </a:prstGeom>
      </xdr:spPr>
    </xdr:pic>
    <xdr:clientData/>
  </xdr:oneCellAnchor>
  <xdr:oneCellAnchor>
    <xdr:from>
      <xdr:col>0</xdr:col>
      <xdr:colOff>47630</xdr:colOff>
      <xdr:row>27</xdr:row>
      <xdr:rowOff>0</xdr:rowOff>
    </xdr:from>
    <xdr:ext cx="504000" cy="506721"/>
    <xdr:pic>
      <xdr:nvPicPr>
        <xdr:cNvPr id="17" name="Рисунок 16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30" y="15910560"/>
          <a:ext cx="504000" cy="506721"/>
        </a:xfrm>
        <a:prstGeom prst="rect">
          <a:avLst/>
        </a:prstGeom>
      </xdr:spPr>
    </xdr:pic>
    <xdr:clientData/>
  </xdr:oneCellAnchor>
  <xdr:oneCellAnchor>
    <xdr:from>
      <xdr:col>0</xdr:col>
      <xdr:colOff>47630</xdr:colOff>
      <xdr:row>26</xdr:row>
      <xdr:rowOff>4763</xdr:rowOff>
    </xdr:from>
    <xdr:ext cx="504000" cy="506722"/>
    <xdr:pic>
      <xdr:nvPicPr>
        <xdr:cNvPr id="21" name="Рисунок 20"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7630" y="15732443"/>
          <a:ext cx="504000" cy="506722"/>
        </a:xfrm>
        <a:prstGeom prst="rect">
          <a:avLst/>
        </a:prstGeom>
      </xdr:spPr>
    </xdr:pic>
    <xdr:clientData/>
  </xdr:oneCellAnchor>
  <xdr:oneCellAnchor>
    <xdr:from>
      <xdr:col>0</xdr:col>
      <xdr:colOff>57836</xdr:colOff>
      <xdr:row>9</xdr:row>
      <xdr:rowOff>4768</xdr:rowOff>
    </xdr:from>
    <xdr:ext cx="504000" cy="504000"/>
    <xdr:pic>
      <xdr:nvPicPr>
        <xdr:cNvPr id="38" name="Рисунок 37">
          <a:extLst>
            <a:ext uri="{FF2B5EF4-FFF2-40B4-BE49-F238E27FC236}">
              <a16:creationId xmlns:a16="http://schemas.microsoft.com/office/drawing/2014/main" id="{00000000-0008-0000-01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57836" y="13998354"/>
          <a:ext cx="504000" cy="504000"/>
        </a:xfrm>
        <a:prstGeom prst="rect">
          <a:avLst/>
        </a:prstGeom>
      </xdr:spPr>
    </xdr:pic>
    <xdr:clientData/>
  </xdr:oneCellAnchor>
  <xdr:oneCellAnchor>
    <xdr:from>
      <xdr:col>0</xdr:col>
      <xdr:colOff>32658</xdr:colOff>
      <xdr:row>11</xdr:row>
      <xdr:rowOff>527957</xdr:rowOff>
    </xdr:from>
    <xdr:ext cx="504000" cy="499516"/>
    <xdr:pic>
      <xdr:nvPicPr>
        <xdr:cNvPr id="30" name="Рисунок 29">
          <a:extLst>
            <a:ext uri="{FF2B5EF4-FFF2-40B4-BE49-F238E27FC236}">
              <a16:creationId xmlns:a16="http://schemas.microsoft.com/office/drawing/2014/main" id="{00000000-0008-0000-01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658" y="12812486"/>
          <a:ext cx="504000" cy="499516"/>
        </a:xfrm>
        <a:prstGeom prst="rect">
          <a:avLst/>
        </a:prstGeom>
      </xdr:spPr>
    </xdr:pic>
    <xdr:clientData/>
  </xdr:oneCellAnchor>
  <xdr:oneCellAnchor>
    <xdr:from>
      <xdr:col>0</xdr:col>
      <xdr:colOff>32658</xdr:colOff>
      <xdr:row>32</xdr:row>
      <xdr:rowOff>0</xdr:rowOff>
    </xdr:from>
    <xdr:ext cx="504000" cy="504000"/>
    <xdr:pic>
      <xdr:nvPicPr>
        <xdr:cNvPr id="35" name="Рисунок 34">
          <a:extLst>
            <a:ext uri="{FF2B5EF4-FFF2-40B4-BE49-F238E27FC236}">
              <a16:creationId xmlns:a16="http://schemas.microsoft.com/office/drawing/2014/main" id="{00000000-0008-0000-01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658" y="27638829"/>
          <a:ext cx="504000" cy="504000"/>
        </a:xfrm>
        <a:prstGeom prst="rect">
          <a:avLst/>
        </a:prstGeom>
      </xdr:spPr>
    </xdr:pic>
    <xdr:clientData/>
  </xdr:oneCellAnchor>
  <xdr:oneCellAnchor>
    <xdr:from>
      <xdr:col>0</xdr:col>
      <xdr:colOff>54430</xdr:colOff>
      <xdr:row>10</xdr:row>
      <xdr:rowOff>0</xdr:rowOff>
    </xdr:from>
    <xdr:ext cx="504000" cy="499516"/>
    <xdr:pic>
      <xdr:nvPicPr>
        <xdr:cNvPr id="32" name="Рисунок 31">
          <a:extLst>
            <a:ext uri="{FF2B5EF4-FFF2-40B4-BE49-F238E27FC236}">
              <a16:creationId xmlns:a16="http://schemas.microsoft.com/office/drawing/2014/main" id="{00000000-0008-0000-01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430" y="9780814"/>
          <a:ext cx="504000" cy="499516"/>
        </a:xfrm>
        <a:prstGeom prst="rect">
          <a:avLst/>
        </a:prstGeom>
      </xdr:spPr>
    </xdr:pic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102870</xdr:colOff>
          <xdr:row>2</xdr:row>
          <xdr:rowOff>7620</xdr:rowOff>
        </xdr:from>
        <xdr:to>
          <xdr:col>7</xdr:col>
          <xdr:colOff>2221230</xdr:colOff>
          <xdr:row>2</xdr:row>
          <xdr:rowOff>323850</xdr:rowOff>
        </xdr:to>
        <xdr:sp macro="" textlink="">
          <xdr:nvSpPr>
            <xdr:cNvPr id="6150" name="Drop Down 1" hidden="1">
              <a:extLst>
                <a:ext uri="{63B3BB69-23CF-44E3-9099-C40C66FF867C}">
                  <a14:compatExt spid="_x0000_s6150"/>
                </a:ext>
                <a:ext uri="{FF2B5EF4-FFF2-40B4-BE49-F238E27FC236}">
                  <a16:creationId xmlns:a16="http://schemas.microsoft.com/office/drawing/2014/main" id="{00000000-0008-0000-0100-000006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xdr:oneCellAnchor>
    <xdr:from>
      <xdr:col>0</xdr:col>
      <xdr:colOff>59873</xdr:colOff>
      <xdr:row>24</xdr:row>
      <xdr:rowOff>0</xdr:rowOff>
    </xdr:from>
    <xdr:ext cx="479937" cy="504000"/>
    <xdr:pic>
      <xdr:nvPicPr>
        <xdr:cNvPr id="34" name="Рисунок 33">
          <a:extLst>
            <a:ext uri="{FF2B5EF4-FFF2-40B4-BE49-F238E27FC236}">
              <a16:creationId xmlns:a16="http://schemas.microsoft.com/office/drawing/2014/main" id="{00000000-0008-0000-01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873" y="15963900"/>
          <a:ext cx="479937" cy="504000"/>
        </a:xfrm>
        <a:prstGeom prst="rect">
          <a:avLst/>
        </a:prstGeom>
      </xdr:spPr>
    </xdr:pic>
    <xdr:clientData/>
  </xdr:oneCellAnchor>
  <xdr:oneCellAnchor>
    <xdr:from>
      <xdr:col>0</xdr:col>
      <xdr:colOff>52274</xdr:colOff>
      <xdr:row>33</xdr:row>
      <xdr:rowOff>23700</xdr:rowOff>
    </xdr:from>
    <xdr:ext cx="540000" cy="491880"/>
    <xdr:pic>
      <xdr:nvPicPr>
        <xdr:cNvPr id="39" name="Рисунок 38">
          <a:extLst>
            <a:ext uri="{FF2B5EF4-FFF2-40B4-BE49-F238E27FC236}">
              <a16:creationId xmlns:a16="http://schemas.microsoft.com/office/drawing/2014/main" id="{00000000-0008-0000-01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274" y="22921800"/>
          <a:ext cx="540000" cy="491880"/>
        </a:xfrm>
        <a:prstGeom prst="rect">
          <a:avLst/>
        </a:prstGeom>
      </xdr:spPr>
    </xdr:pic>
    <xdr:clientData/>
  </xdr:oneCellAnchor>
  <xdr:oneCellAnchor>
    <xdr:from>
      <xdr:col>0</xdr:col>
      <xdr:colOff>32658</xdr:colOff>
      <xdr:row>29</xdr:row>
      <xdr:rowOff>0</xdr:rowOff>
    </xdr:from>
    <xdr:ext cx="504000" cy="504000"/>
    <xdr:pic>
      <xdr:nvPicPr>
        <xdr:cNvPr id="40" name="Рисунок 39">
          <a:extLst>
            <a:ext uri="{FF2B5EF4-FFF2-40B4-BE49-F238E27FC236}">
              <a16:creationId xmlns:a16="http://schemas.microsoft.com/office/drawing/2014/main" id="{00000000-0008-0000-01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32658" y="18783300"/>
          <a:ext cx="504000" cy="504000"/>
        </a:xfrm>
        <a:prstGeom prst="rect">
          <a:avLst/>
        </a:prstGeom>
      </xdr:spPr>
    </xdr:pic>
    <xdr:clientData/>
  </xdr:oneCellAnchor>
  <xdr:oneCellAnchor>
    <xdr:from>
      <xdr:col>0</xdr:col>
      <xdr:colOff>43544</xdr:colOff>
      <xdr:row>31</xdr:row>
      <xdr:rowOff>0</xdr:rowOff>
    </xdr:from>
    <xdr:ext cx="504000" cy="504000"/>
    <xdr:pic>
      <xdr:nvPicPr>
        <xdr:cNvPr id="41" name="Рисунок 40">
          <a:extLst>
            <a:ext uri="{FF2B5EF4-FFF2-40B4-BE49-F238E27FC236}">
              <a16:creationId xmlns:a16="http://schemas.microsoft.com/office/drawing/2014/main" id="{00000000-0008-0000-01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544" y="22288500"/>
          <a:ext cx="504000" cy="504000"/>
        </a:xfrm>
        <a:prstGeom prst="rect">
          <a:avLst/>
        </a:prstGeom>
      </xdr:spPr>
    </xdr:pic>
    <xdr:clientData/>
  </xdr:oneCellAnchor>
  <xdr:oneCellAnchor>
    <xdr:from>
      <xdr:col>0</xdr:col>
      <xdr:colOff>47625</xdr:colOff>
      <xdr:row>25</xdr:row>
      <xdr:rowOff>9525</xdr:rowOff>
    </xdr:from>
    <xdr:ext cx="504000" cy="504000"/>
    <xdr:pic>
      <xdr:nvPicPr>
        <xdr:cNvPr id="29" name="Рисунок 28">
          <a:extLst>
            <a:ext uri="{FF2B5EF4-FFF2-40B4-BE49-F238E27FC236}">
              <a16:creationId xmlns:a16="http://schemas.microsoft.com/office/drawing/2014/main" id="{00000000-0008-0000-01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17796782"/>
          <a:ext cx="504000" cy="504000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Fmanager\AppData\Local\Temp\Rar$DI00.349\DOCUME~1\ZaziOne\LOCALS~1\Temp\bat\&#1056;&#1072;&#1089;&#1095;&#1077;&#1090;2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ZAZIPC\Exchange\_&#1071;&#1085;&#1072;\&#1056;&#1052;C%20&#1040;&#1074;&#1090;&#1086;\&#1060;&#1080;&#1085;&#1072;&#1085;&#1089;&#1086;&#1074;&#1072;&#1103;%20&#1084;&#1086;&#1076;&#1077;&#1083;&#1100;%20&#1092;&#1088;&#1072;&#1085;&#1096;&#1080;&#1079;&#1099;%20RMSAuto%202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Fmanager\AppData\Local\Temp\Rar$DI00.349\Documents%20and%20Settings\&#1052;&#1072;&#1088;&#1075;&#1086;\&#1056;&#1072;&#1073;&#1086;&#1095;&#1080;&#1081;%20&#1089;&#1090;&#1086;&#1083;\5.%20&#1058;&#1069;&#1054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омпания"/>
      <sheetName val="Проект"/>
      <sheetName val="Сумм"/>
      <sheetName val="Анализ"/>
      <sheetName val="Отчет"/>
      <sheetName val="Опции"/>
      <sheetName val="Язык"/>
    </sheetNames>
    <sheetDataSet>
      <sheetData sheetId="0" refreshError="1"/>
      <sheetData sheetId="1" refreshError="1">
        <row r="7">
          <cell r="D7">
            <v>39083</v>
          </cell>
        </row>
        <row r="8">
          <cell r="D8">
            <v>6</v>
          </cell>
        </row>
        <row r="9">
          <cell r="D9">
            <v>3</v>
          </cell>
          <cell r="E9" t="str">
            <v>пг.</v>
          </cell>
        </row>
        <row r="10">
          <cell r="D10">
            <v>180</v>
          </cell>
        </row>
        <row r="11">
          <cell r="B11" t="str">
            <v>грн.</v>
          </cell>
          <cell r="D11">
            <v>4</v>
          </cell>
        </row>
        <row r="12">
          <cell r="B12" t="str">
            <v>тыс. $</v>
          </cell>
          <cell r="D12">
            <v>6</v>
          </cell>
        </row>
        <row r="17">
          <cell r="D17">
            <v>0</v>
          </cell>
        </row>
        <row r="18">
          <cell r="D18" t="b">
            <v>0</v>
          </cell>
        </row>
        <row r="19">
          <cell r="B19" t="str">
            <v>грн.</v>
          </cell>
          <cell r="D19">
            <v>1</v>
          </cell>
        </row>
        <row r="20">
          <cell r="D20" t="b">
            <v>1</v>
          </cell>
        </row>
        <row r="25">
          <cell r="F25">
            <v>2007</v>
          </cell>
        </row>
        <row r="26">
          <cell r="F26">
            <v>1</v>
          </cell>
        </row>
        <row r="86">
          <cell r="F86" t="str">
            <v>"0"</v>
          </cell>
          <cell r="G86" t="str">
            <v>1/ 2007</v>
          </cell>
          <cell r="H86" t="str">
            <v>2/ 2007</v>
          </cell>
          <cell r="I86" t="str">
            <v>1/ 2008</v>
          </cell>
          <cell r="J86" t="str">
            <v>2/ 2008</v>
          </cell>
          <cell r="K86" t="str">
            <v>1/ 2009</v>
          </cell>
          <cell r="L86" t="str">
            <v>2/ 2009</v>
          </cell>
        </row>
        <row r="88">
          <cell r="F88">
            <v>2</v>
          </cell>
        </row>
        <row r="749">
          <cell r="B749">
            <v>0</v>
          </cell>
        </row>
        <row r="751">
          <cell r="B751">
            <v>0</v>
          </cell>
        </row>
        <row r="755">
          <cell r="B755">
            <v>0</v>
          </cell>
        </row>
        <row r="760">
          <cell r="B760">
            <v>0</v>
          </cell>
          <cell r="C760">
            <v>0</v>
          </cell>
        </row>
        <row r="761">
          <cell r="B761">
            <v>0</v>
          </cell>
          <cell r="C761">
            <v>0</v>
          </cell>
        </row>
        <row r="772">
          <cell r="B772">
            <v>0</v>
          </cell>
          <cell r="C772">
            <v>0</v>
          </cell>
        </row>
        <row r="773">
          <cell r="B773">
            <v>0</v>
          </cell>
          <cell r="C773">
            <v>10</v>
          </cell>
        </row>
        <row r="889">
          <cell r="B889">
            <v>0.2</v>
          </cell>
        </row>
        <row r="890">
          <cell r="B890">
            <v>30</v>
          </cell>
        </row>
        <row r="891">
          <cell r="B891">
            <v>2</v>
          </cell>
        </row>
        <row r="892">
          <cell r="B892">
            <v>1</v>
          </cell>
        </row>
        <row r="945">
          <cell r="B945">
            <v>0.25</v>
          </cell>
        </row>
        <row r="946">
          <cell r="B946">
            <v>60</v>
          </cell>
        </row>
      </sheetData>
      <sheetData sheetId="2" refreshError="1"/>
      <sheetData sheetId="3" refreshError="1">
        <row r="9">
          <cell r="E9">
            <v>4</v>
          </cell>
        </row>
      </sheetData>
      <sheetData sheetId="4" refreshError="1"/>
      <sheetData sheetId="5" refreshError="1">
        <row r="5">
          <cell r="B5" t="str">
            <v>5.05</v>
          </cell>
        </row>
        <row r="10">
          <cell r="B10" t="b">
            <v>1</v>
          </cell>
        </row>
      </sheetData>
      <sheetData sheetId="6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 Исходные данные"/>
      <sheetName val="2. Резюме проекта"/>
      <sheetName val="3. Детальный расчет"/>
    </sheetNames>
    <sheetDataSet>
      <sheetData sheetId="0">
        <row r="1">
          <cell r="I1">
            <v>4</v>
          </cell>
        </row>
      </sheetData>
      <sheetData sheetId="1"/>
      <sheetData sheetId="2">
        <row r="12">
          <cell r="D12">
            <v>1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тчет"/>
    </sheetNames>
    <sheetDataSet>
      <sheetData sheetId="0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trlProp" Target="../ctrlProps/ctrlProp3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Лист1">
    <pageSetUpPr fitToPage="1"/>
  </sheetPr>
  <dimension ref="A1:AA78"/>
  <sheetViews>
    <sheetView showGridLines="0" topLeftCell="A2" zoomScale="60" zoomScaleNormal="60" workbookViewId="0">
      <selection activeCell="K52" sqref="K52"/>
    </sheetView>
  </sheetViews>
  <sheetFormatPr defaultRowHeight="34.200000000000003" customHeight="1" x14ac:dyDescent="0.55000000000000004"/>
  <cols>
    <col min="1" max="1" width="8.41796875" customWidth="1"/>
    <col min="2" max="2" width="27.9453125" customWidth="1"/>
    <col min="3" max="6" width="19.41796875" customWidth="1"/>
    <col min="7" max="7" width="31.734375" customWidth="1"/>
    <col min="8" max="8" width="26.3671875" customWidth="1"/>
    <col min="9" max="9" width="23.734375" customWidth="1"/>
    <col min="10" max="10" width="30.578125" customWidth="1"/>
    <col min="11" max="11" width="11.83984375" customWidth="1"/>
    <col min="12" max="13" width="9.15625" customWidth="1"/>
    <col min="14" max="14" width="1.68359375" hidden="1" customWidth="1"/>
    <col min="15" max="15" width="4.26171875" hidden="1" customWidth="1"/>
    <col min="16" max="16" width="1.68359375" hidden="1" customWidth="1"/>
    <col min="17" max="17" width="8.15625" hidden="1" customWidth="1"/>
    <col min="18" max="23" width="8.83984375" customWidth="1"/>
  </cols>
  <sheetData>
    <row r="1" spans="1:24" ht="34.200000000000003" customHeight="1" x14ac:dyDescent="0.55000000000000004">
      <c r="A1" s="229" t="s">
        <v>5</v>
      </c>
      <c r="B1" s="229"/>
      <c r="C1" s="229"/>
      <c r="D1" s="229"/>
      <c r="E1" s="229"/>
      <c r="F1" s="229"/>
      <c r="G1" s="229"/>
      <c r="H1" s="229"/>
      <c r="I1" s="229"/>
      <c r="J1" s="229"/>
      <c r="K1" s="33"/>
    </row>
    <row r="2" spans="1:24" ht="72.599999999999994" customHeight="1" x14ac:dyDescent="0.55000000000000004">
      <c r="A2" s="233" t="s">
        <v>126</v>
      </c>
      <c r="B2" s="233"/>
      <c r="C2" s="233"/>
      <c r="D2" s="233"/>
      <c r="E2" s="233"/>
      <c r="F2" s="233"/>
      <c r="G2" s="233"/>
      <c r="H2" s="233"/>
      <c r="I2" s="233"/>
      <c r="J2" s="233"/>
      <c r="K2" s="11"/>
      <c r="N2" s="1">
        <v>2</v>
      </c>
      <c r="O2" s="167" t="s">
        <v>113</v>
      </c>
      <c r="P2" s="168">
        <v>1</v>
      </c>
      <c r="Q2" s="168" t="s">
        <v>24</v>
      </c>
      <c r="S2" s="14"/>
      <c r="T2" s="14"/>
    </row>
    <row r="3" spans="1:24" ht="34.200000000000003" customHeight="1" x14ac:dyDescent="0.55000000000000004">
      <c r="A3" s="158" t="s">
        <v>48</v>
      </c>
      <c r="B3" s="19"/>
      <c r="J3" s="17"/>
      <c r="K3" s="159"/>
      <c r="L3" s="160"/>
      <c r="N3" s="167"/>
      <c r="O3" s="167" t="str">
        <f>E5</f>
        <v>USD</v>
      </c>
      <c r="P3" s="168"/>
      <c r="Q3" s="168" t="s">
        <v>25</v>
      </c>
      <c r="S3" s="14"/>
      <c r="T3" s="14"/>
    </row>
    <row r="4" spans="1:24" ht="34.200000000000003" customHeight="1" x14ac:dyDescent="0.55000000000000004">
      <c r="A4" s="18" t="s">
        <v>23</v>
      </c>
      <c r="B4" s="19"/>
      <c r="H4" s="20"/>
      <c r="J4" s="17"/>
      <c r="K4" s="17"/>
      <c r="L4" s="160"/>
      <c r="N4" s="167"/>
      <c r="O4" s="167" t="str">
        <f>G5</f>
        <v>EUR</v>
      </c>
      <c r="P4" s="168"/>
      <c r="Q4" s="168" t="s">
        <v>50</v>
      </c>
    </row>
    <row r="5" spans="1:24" ht="46.5" customHeight="1" x14ac:dyDescent="0.55000000000000004">
      <c r="A5" s="236" t="s">
        <v>115</v>
      </c>
      <c r="B5" s="236"/>
      <c r="C5" s="236"/>
      <c r="D5" s="237"/>
      <c r="E5" s="197" t="s">
        <v>57</v>
      </c>
      <c r="F5" s="198">
        <v>27</v>
      </c>
      <c r="G5" s="201" t="s">
        <v>58</v>
      </c>
      <c r="H5" s="198">
        <v>30</v>
      </c>
      <c r="I5" s="197" t="s">
        <v>59</v>
      </c>
      <c r="J5" s="198">
        <v>0.41</v>
      </c>
      <c r="K5" s="17"/>
      <c r="L5" s="160"/>
      <c r="N5" s="167"/>
      <c r="O5" s="167" t="str">
        <f>I5</f>
        <v>RUB</v>
      </c>
      <c r="P5" s="168"/>
      <c r="Q5" s="168" t="s">
        <v>51</v>
      </c>
    </row>
    <row r="6" spans="1:24" ht="17.7" customHeight="1" x14ac:dyDescent="0.55000000000000004">
      <c r="A6" s="21"/>
      <c r="N6" s="169"/>
      <c r="O6" s="167"/>
      <c r="P6" s="168"/>
      <c r="Q6" s="168" t="s">
        <v>52</v>
      </c>
    </row>
    <row r="7" spans="1:24" ht="34.200000000000003" customHeight="1" x14ac:dyDescent="0.55000000000000004">
      <c r="A7" s="21" t="s">
        <v>49</v>
      </c>
      <c r="N7" s="169"/>
      <c r="O7" s="167"/>
      <c r="P7" s="168"/>
      <c r="Q7" s="168" t="s">
        <v>69</v>
      </c>
    </row>
    <row r="8" spans="1:24" s="23" customFormat="1" ht="38.4" customHeight="1" x14ac:dyDescent="0.55000000000000004">
      <c r="A8" s="240" t="s">
        <v>110</v>
      </c>
      <c r="B8" s="240"/>
      <c r="C8" s="218" t="s">
        <v>135</v>
      </c>
      <c r="D8" s="218"/>
      <c r="E8" s="218"/>
      <c r="F8" s="218"/>
      <c r="G8" s="218" t="s">
        <v>129</v>
      </c>
      <c r="H8" s="223" t="s">
        <v>100</v>
      </c>
      <c r="I8" s="218" t="s">
        <v>130</v>
      </c>
      <c r="J8" s="218"/>
      <c r="K8" s="161"/>
      <c r="N8" s="170"/>
      <c r="O8" s="171"/>
      <c r="P8" s="172"/>
      <c r="Q8" s="168" t="s">
        <v>26</v>
      </c>
      <c r="R8" s="26"/>
    </row>
    <row r="9" spans="1:24" s="23" customFormat="1" ht="47.4" customHeight="1" x14ac:dyDescent="0.55000000000000004">
      <c r="A9" s="240"/>
      <c r="B9" s="240"/>
      <c r="C9" s="218" t="s">
        <v>57</v>
      </c>
      <c r="D9" s="218"/>
      <c r="E9" s="218" t="str">
        <f>"В валюте, в которой производится расчет, "&amp;CHOOSE($N$2,$O$2,$O$3,$O$4,$O$5)&amp;""</f>
        <v>В валюте, в которой производится расчет, USD</v>
      </c>
      <c r="F9" s="218"/>
      <c r="G9" s="218"/>
      <c r="H9" s="223"/>
      <c r="I9" s="218"/>
      <c r="J9" s="218"/>
      <c r="K9" s="161"/>
      <c r="N9" s="170"/>
      <c r="O9" s="171"/>
      <c r="P9" s="172"/>
      <c r="Q9" s="168" t="s">
        <v>27</v>
      </c>
      <c r="R9" s="26"/>
    </row>
    <row r="10" spans="1:24" s="23" customFormat="1" ht="33.6" customHeight="1" x14ac:dyDescent="0.6">
      <c r="A10" s="219" t="s">
        <v>128</v>
      </c>
      <c r="B10" s="219"/>
      <c r="C10" s="220">
        <v>1000</v>
      </c>
      <c r="D10" s="220"/>
      <c r="E10" s="221">
        <f>C10*CHOOSE($N$2,$F$5,1,$F$5/$H$5,$F$5/$J$5)</f>
        <v>1000</v>
      </c>
      <c r="F10" s="221"/>
      <c r="G10" s="222">
        <v>0.5</v>
      </c>
      <c r="H10" s="202" t="str">
        <f t="shared" ref="H10:H21" si="0">Q2</f>
        <v>январь</v>
      </c>
      <c r="I10" s="220">
        <v>4</v>
      </c>
      <c r="J10" s="220"/>
      <c r="K10" s="161"/>
      <c r="N10" s="170"/>
      <c r="O10" s="171"/>
      <c r="P10" s="172"/>
      <c r="Q10" s="173" t="s">
        <v>28</v>
      </c>
      <c r="R10" s="187"/>
      <c r="S10" s="166"/>
      <c r="T10" s="188"/>
      <c r="U10" s="166"/>
    </row>
    <row r="11" spans="1:24" ht="33.6" customHeight="1" x14ac:dyDescent="0.55000000000000004">
      <c r="A11" s="219"/>
      <c r="B11" s="219"/>
      <c r="C11" s="220"/>
      <c r="D11" s="220"/>
      <c r="E11" s="221"/>
      <c r="F11" s="221"/>
      <c r="G11" s="222"/>
      <c r="H11" s="202" t="str">
        <f t="shared" si="0"/>
        <v>февраль</v>
      </c>
      <c r="I11" s="220">
        <v>5</v>
      </c>
      <c r="J11" s="220"/>
      <c r="N11" s="169"/>
      <c r="O11" s="169"/>
      <c r="P11" s="169"/>
      <c r="Q11" s="168" t="s">
        <v>29</v>
      </c>
      <c r="R11" s="187"/>
      <c r="S11" s="29"/>
      <c r="T11" s="188"/>
      <c r="U11" s="189"/>
      <c r="V11" s="25"/>
      <c r="W11" s="25"/>
      <c r="X11" s="23"/>
    </row>
    <row r="12" spans="1:24" ht="33.6" customHeight="1" x14ac:dyDescent="0.55000000000000004">
      <c r="A12" s="219"/>
      <c r="B12" s="219"/>
      <c r="C12" s="220"/>
      <c r="D12" s="220"/>
      <c r="E12" s="221"/>
      <c r="F12" s="221"/>
      <c r="G12" s="222"/>
      <c r="H12" s="202" t="str">
        <f t="shared" si="0"/>
        <v>март</v>
      </c>
      <c r="I12" s="220">
        <v>5</v>
      </c>
      <c r="J12" s="220"/>
      <c r="K12" s="162"/>
      <c r="L12" s="34"/>
      <c r="N12" s="168"/>
      <c r="O12" s="168"/>
      <c r="P12" s="174"/>
      <c r="Q12" s="168" t="s">
        <v>30</v>
      </c>
      <c r="R12" s="187"/>
      <c r="S12" s="166"/>
      <c r="T12" s="188"/>
      <c r="U12" s="189"/>
      <c r="V12" s="25"/>
      <c r="W12" s="25"/>
      <c r="X12" s="23"/>
    </row>
    <row r="13" spans="1:24" ht="33.6" customHeight="1" x14ac:dyDescent="0.55000000000000004">
      <c r="A13" s="219"/>
      <c r="B13" s="219"/>
      <c r="C13" s="220"/>
      <c r="D13" s="220"/>
      <c r="E13" s="221"/>
      <c r="F13" s="221"/>
      <c r="G13" s="222"/>
      <c r="H13" s="202" t="str">
        <f t="shared" si="0"/>
        <v>апрель</v>
      </c>
      <c r="I13" s="220">
        <v>6</v>
      </c>
      <c r="J13" s="220"/>
      <c r="L13" s="164"/>
      <c r="Q13" s="168" t="s">
        <v>31</v>
      </c>
      <c r="R13" s="187"/>
      <c r="S13" s="166"/>
      <c r="T13" s="188"/>
      <c r="U13" s="189"/>
      <c r="V13" s="25"/>
      <c r="W13" s="25"/>
      <c r="X13" s="23"/>
    </row>
    <row r="14" spans="1:24" ht="33.6" customHeight="1" x14ac:dyDescent="0.55000000000000004">
      <c r="A14" s="219"/>
      <c r="B14" s="219"/>
      <c r="C14" s="220"/>
      <c r="D14" s="220"/>
      <c r="E14" s="221"/>
      <c r="F14" s="221"/>
      <c r="G14" s="222"/>
      <c r="H14" s="202" t="str">
        <f t="shared" si="0"/>
        <v>май</v>
      </c>
      <c r="I14" s="220">
        <v>7</v>
      </c>
      <c r="J14" s="220"/>
      <c r="O14" s="15"/>
      <c r="P14" s="14"/>
      <c r="R14" s="187"/>
      <c r="S14" s="166"/>
      <c r="T14" s="188"/>
      <c r="U14" s="29"/>
    </row>
    <row r="15" spans="1:24" s="23" customFormat="1" ht="33.6" customHeight="1" x14ac:dyDescent="0.55000000000000004">
      <c r="A15" s="219"/>
      <c r="B15" s="219"/>
      <c r="C15" s="220"/>
      <c r="D15" s="220"/>
      <c r="E15" s="221"/>
      <c r="F15" s="221"/>
      <c r="G15" s="222"/>
      <c r="H15" s="202" t="str">
        <f t="shared" si="0"/>
        <v>июнь</v>
      </c>
      <c r="I15" s="220">
        <v>7</v>
      </c>
      <c r="J15" s="220"/>
      <c r="K15" s="161"/>
      <c r="N15" s="170"/>
      <c r="O15" s="171"/>
      <c r="P15" s="172"/>
      <c r="Q15" s="168"/>
      <c r="R15" s="26"/>
    </row>
    <row r="16" spans="1:24" s="23" customFormat="1" ht="33.6" customHeight="1" x14ac:dyDescent="0.6">
      <c r="A16" s="219"/>
      <c r="B16" s="219"/>
      <c r="C16" s="220"/>
      <c r="D16" s="220"/>
      <c r="E16" s="221"/>
      <c r="F16" s="221"/>
      <c r="G16" s="222"/>
      <c r="H16" s="202" t="str">
        <f t="shared" si="0"/>
        <v>июль</v>
      </c>
      <c r="I16" s="220">
        <v>8</v>
      </c>
      <c r="J16" s="220"/>
      <c r="K16" s="161"/>
      <c r="N16" s="170"/>
      <c r="O16" s="171"/>
      <c r="P16" s="172"/>
      <c r="Q16" s="173"/>
      <c r="R16" s="187"/>
      <c r="S16" s="166"/>
      <c r="T16" s="188"/>
      <c r="U16" s="166"/>
    </row>
    <row r="17" spans="1:24" ht="33.6" customHeight="1" x14ac:dyDescent="0.55000000000000004">
      <c r="A17" s="219"/>
      <c r="B17" s="219"/>
      <c r="C17" s="220"/>
      <c r="D17" s="220"/>
      <c r="E17" s="221"/>
      <c r="F17" s="221"/>
      <c r="G17" s="222"/>
      <c r="H17" s="202" t="str">
        <f t="shared" si="0"/>
        <v>август</v>
      </c>
      <c r="I17" s="220">
        <v>8</v>
      </c>
      <c r="J17" s="220"/>
      <c r="K17" s="162"/>
      <c r="L17" s="34"/>
      <c r="N17" s="168"/>
      <c r="O17" s="168"/>
      <c r="P17" s="174"/>
      <c r="Q17" s="168"/>
      <c r="R17" s="187"/>
      <c r="S17" s="166"/>
      <c r="T17" s="188"/>
      <c r="U17" s="189"/>
      <c r="V17" s="25"/>
      <c r="W17" s="25"/>
      <c r="X17" s="23"/>
    </row>
    <row r="18" spans="1:24" ht="33.6" customHeight="1" x14ac:dyDescent="0.55000000000000004">
      <c r="A18" s="219"/>
      <c r="B18" s="219"/>
      <c r="C18" s="220"/>
      <c r="D18" s="220"/>
      <c r="E18" s="221"/>
      <c r="F18" s="221"/>
      <c r="G18" s="222"/>
      <c r="H18" s="202" t="str">
        <f t="shared" si="0"/>
        <v>сентябрь</v>
      </c>
      <c r="I18" s="220">
        <v>6</v>
      </c>
      <c r="J18" s="220"/>
      <c r="K18" s="162"/>
      <c r="L18" s="34"/>
      <c r="N18" s="168"/>
      <c r="O18" s="168"/>
      <c r="P18" s="174"/>
      <c r="Q18" s="168"/>
      <c r="R18" s="187"/>
      <c r="S18" s="166"/>
      <c r="T18" s="188"/>
      <c r="U18" s="189"/>
      <c r="V18" s="25"/>
      <c r="W18" s="25"/>
      <c r="X18" s="23"/>
    </row>
    <row r="19" spans="1:24" ht="33.6" customHeight="1" x14ac:dyDescent="0.55000000000000004">
      <c r="A19" s="219"/>
      <c r="B19" s="219"/>
      <c r="C19" s="220"/>
      <c r="D19" s="220"/>
      <c r="E19" s="221"/>
      <c r="F19" s="221"/>
      <c r="G19" s="222"/>
      <c r="H19" s="202" t="str">
        <f t="shared" si="0"/>
        <v>октябрь</v>
      </c>
      <c r="I19" s="220">
        <v>6</v>
      </c>
      <c r="J19" s="220"/>
      <c r="K19" s="162"/>
      <c r="L19" s="34"/>
      <c r="N19" s="168"/>
      <c r="O19" s="168"/>
      <c r="P19" s="174"/>
      <c r="Q19" s="168"/>
      <c r="R19" s="187"/>
      <c r="S19" s="166"/>
      <c r="T19" s="188"/>
      <c r="U19" s="189"/>
      <c r="V19" s="25"/>
      <c r="W19" s="25"/>
      <c r="X19" s="23"/>
    </row>
    <row r="20" spans="1:24" ht="33.6" customHeight="1" x14ac:dyDescent="0.55000000000000004">
      <c r="A20" s="219"/>
      <c r="B20" s="219"/>
      <c r="C20" s="220"/>
      <c r="D20" s="220"/>
      <c r="E20" s="221"/>
      <c r="F20" s="221"/>
      <c r="G20" s="222"/>
      <c r="H20" s="202" t="str">
        <f t="shared" si="0"/>
        <v>ноябрь</v>
      </c>
      <c r="I20" s="220">
        <v>4</v>
      </c>
      <c r="J20" s="220"/>
      <c r="K20" s="162"/>
      <c r="L20" s="34"/>
      <c r="N20" s="168"/>
      <c r="O20" s="168"/>
      <c r="P20" s="174"/>
      <c r="R20" s="187"/>
      <c r="S20" s="166"/>
      <c r="T20" s="188"/>
      <c r="U20" s="189"/>
      <c r="V20" s="25"/>
      <c r="W20" s="25"/>
      <c r="X20" s="23"/>
    </row>
    <row r="21" spans="1:24" ht="33.6" customHeight="1" x14ac:dyDescent="0.55000000000000004">
      <c r="A21" s="219"/>
      <c r="B21" s="219"/>
      <c r="C21" s="220"/>
      <c r="D21" s="220"/>
      <c r="E21" s="221"/>
      <c r="F21" s="221"/>
      <c r="G21" s="222"/>
      <c r="H21" s="202" t="str">
        <f t="shared" si="0"/>
        <v>декабрь</v>
      </c>
      <c r="I21" s="220">
        <v>4</v>
      </c>
      <c r="J21" s="220"/>
      <c r="K21" s="162"/>
      <c r="L21" s="34"/>
      <c r="N21" s="168"/>
      <c r="O21" s="168"/>
      <c r="P21" s="174"/>
      <c r="R21" s="187"/>
      <c r="S21" s="166"/>
      <c r="T21" s="188"/>
      <c r="U21" s="189"/>
      <c r="V21" s="25"/>
      <c r="W21" s="25"/>
      <c r="X21" s="23"/>
    </row>
    <row r="22" spans="1:24" ht="33.6" customHeight="1" x14ac:dyDescent="0.55000000000000004">
      <c r="A22" s="261"/>
      <c r="B22" s="261"/>
      <c r="C22" s="261"/>
      <c r="D22" s="261"/>
      <c r="E22" s="221"/>
      <c r="F22" s="221"/>
      <c r="G22" s="200"/>
      <c r="H22" s="202" t="s">
        <v>125</v>
      </c>
      <c r="I22" s="221">
        <f>SUM(I10:J21)</f>
        <v>70</v>
      </c>
      <c r="J22" s="221"/>
      <c r="K22" s="162"/>
      <c r="L22" s="34"/>
      <c r="N22" s="168"/>
      <c r="O22" s="168"/>
      <c r="P22" s="174"/>
      <c r="R22" s="187"/>
      <c r="S22" s="166"/>
      <c r="T22" s="188"/>
      <c r="U22" s="189"/>
      <c r="V22" s="25"/>
      <c r="W22" s="25"/>
      <c r="X22" s="23"/>
    </row>
    <row r="23" spans="1:24" ht="23.1" customHeight="1" x14ac:dyDescent="0.55000000000000004">
      <c r="A23" s="243" t="s">
        <v>124</v>
      </c>
      <c r="B23" s="243"/>
      <c r="C23" s="243"/>
      <c r="D23" s="243"/>
      <c r="E23" s="243"/>
      <c r="F23" s="243"/>
      <c r="G23" s="243"/>
      <c r="H23" s="243"/>
      <c r="I23" s="243"/>
      <c r="J23" s="243"/>
      <c r="O23" s="15"/>
      <c r="P23" s="14"/>
      <c r="R23" s="187"/>
      <c r="S23" s="166"/>
      <c r="T23" s="188"/>
      <c r="U23" s="29"/>
    </row>
    <row r="24" spans="1:24" ht="47.1" customHeight="1" x14ac:dyDescent="0.55000000000000004">
      <c r="A24" s="21" t="s">
        <v>123</v>
      </c>
      <c r="O24" s="15"/>
      <c r="P24" s="14"/>
      <c r="Q24" s="25"/>
      <c r="R24" s="187"/>
      <c r="S24" s="166"/>
      <c r="T24" s="188"/>
      <c r="U24" s="29"/>
    </row>
    <row r="25" spans="1:24" s="23" customFormat="1" ht="66.599999999999994" customHeight="1" x14ac:dyDescent="0.55000000000000004">
      <c r="A25" s="250" t="s">
        <v>81</v>
      </c>
      <c r="B25" s="250"/>
      <c r="C25" s="262" t="s">
        <v>79</v>
      </c>
      <c r="D25" s="262"/>
      <c r="E25" s="262"/>
      <c r="F25" s="203"/>
      <c r="G25" s="203"/>
      <c r="H25" s="206"/>
      <c r="I25" s="206"/>
      <c r="J25" s="206"/>
      <c r="K25" s="161"/>
      <c r="N25" s="161"/>
      <c r="O25" s="24"/>
      <c r="P25" s="25"/>
      <c r="Q25"/>
      <c r="R25" s="187"/>
      <c r="S25" s="166"/>
      <c r="T25" s="188"/>
      <c r="U25" s="166"/>
    </row>
    <row r="26" spans="1:24" s="23" customFormat="1" ht="35.049999999999997" customHeight="1" x14ac:dyDescent="0.55000000000000004">
      <c r="A26" s="241">
        <v>1</v>
      </c>
      <c r="B26" s="241"/>
      <c r="C26" s="251">
        <v>0.7</v>
      </c>
      <c r="D26" s="251"/>
      <c r="E26" s="251"/>
      <c r="F26" s="204"/>
      <c r="G26" s="204"/>
      <c r="H26" s="205"/>
      <c r="I26" s="205"/>
      <c r="J26" s="205"/>
      <c r="K26" s="31"/>
      <c r="N26" s="161"/>
      <c r="O26" s="24"/>
      <c r="P26" s="25"/>
      <c r="R26" s="187"/>
      <c r="S26" s="166"/>
      <c r="T26" s="188"/>
      <c r="U26" s="166"/>
    </row>
    <row r="27" spans="1:24" ht="35.049999999999997" customHeight="1" x14ac:dyDescent="0.55000000000000004">
      <c r="A27" s="241">
        <v>2</v>
      </c>
      <c r="B27" s="241"/>
      <c r="C27" s="251">
        <v>0.8</v>
      </c>
      <c r="D27" s="251"/>
      <c r="E27" s="251"/>
      <c r="F27" s="204"/>
      <c r="G27" s="204"/>
      <c r="H27" s="205"/>
      <c r="I27" s="205"/>
      <c r="J27" s="205"/>
      <c r="K27" s="162"/>
      <c r="N27" s="14"/>
      <c r="O27" s="14"/>
      <c r="P27" s="163"/>
      <c r="R27" s="163"/>
    </row>
    <row r="28" spans="1:24" ht="35.049999999999997" customHeight="1" x14ac:dyDescent="0.55000000000000004">
      <c r="A28" s="241">
        <v>3</v>
      </c>
      <c r="B28" s="241"/>
      <c r="C28" s="251">
        <v>0.9</v>
      </c>
      <c r="D28" s="251"/>
      <c r="E28" s="251"/>
      <c r="F28" s="204"/>
      <c r="G28" s="204"/>
      <c r="H28" s="204"/>
      <c r="I28" s="204"/>
      <c r="J28" s="204"/>
      <c r="L28" s="164"/>
    </row>
    <row r="29" spans="1:24" s="23" customFormat="1" ht="35.049999999999997" customHeight="1" x14ac:dyDescent="0.55000000000000004">
      <c r="A29" s="241">
        <v>4</v>
      </c>
      <c r="B29" s="241"/>
      <c r="C29" s="251">
        <v>1</v>
      </c>
      <c r="D29" s="251"/>
      <c r="E29" s="251"/>
      <c r="F29" s="204"/>
      <c r="G29" s="204"/>
      <c r="H29" s="204"/>
      <c r="I29" s="204"/>
      <c r="J29" s="204"/>
      <c r="K29" s="161"/>
      <c r="N29" s="161"/>
      <c r="O29" s="24"/>
      <c r="P29" s="25"/>
      <c r="R29" s="26"/>
    </row>
    <row r="30" spans="1:24" ht="35.049999999999997" customHeight="1" x14ac:dyDescent="0.55000000000000004">
      <c r="A30" s="241">
        <v>5</v>
      </c>
      <c r="B30" s="241"/>
      <c r="C30" s="251">
        <v>1</v>
      </c>
      <c r="D30" s="251"/>
      <c r="E30" s="251"/>
      <c r="F30" s="204"/>
      <c r="G30" s="204"/>
      <c r="H30" s="204"/>
      <c r="I30" s="204"/>
      <c r="J30" s="204"/>
      <c r="K30" s="162"/>
      <c r="N30" s="14"/>
      <c r="O30" s="14"/>
      <c r="P30" s="163"/>
      <c r="R30" s="163"/>
    </row>
    <row r="31" spans="1:24" ht="35.049999999999997" customHeight="1" x14ac:dyDescent="0.55000000000000004">
      <c r="A31" s="241">
        <v>6</v>
      </c>
      <c r="B31" s="241"/>
      <c r="C31" s="251">
        <v>1</v>
      </c>
      <c r="D31" s="251"/>
      <c r="E31" s="251"/>
      <c r="F31" s="204"/>
      <c r="G31" s="204"/>
      <c r="H31" s="204"/>
      <c r="I31" s="204"/>
      <c r="J31" s="204"/>
      <c r="L31" s="164"/>
    </row>
    <row r="32" spans="1:24" s="23" customFormat="1" ht="35.049999999999997" customHeight="1" x14ac:dyDescent="0.55000000000000004">
      <c r="A32" s="241">
        <v>7</v>
      </c>
      <c r="B32" s="241"/>
      <c r="C32" s="251">
        <v>1</v>
      </c>
      <c r="D32" s="251"/>
      <c r="E32" s="251"/>
      <c r="F32" s="204"/>
      <c r="G32" s="204"/>
      <c r="H32" s="204"/>
      <c r="I32" s="204"/>
      <c r="J32" s="204"/>
      <c r="K32" s="161"/>
      <c r="N32" s="161"/>
      <c r="O32" s="24"/>
      <c r="P32" s="25"/>
      <c r="R32" s="26"/>
    </row>
    <row r="33" spans="1:27" ht="35.049999999999997" customHeight="1" x14ac:dyDescent="0.55000000000000004">
      <c r="A33" s="241">
        <v>8</v>
      </c>
      <c r="B33" s="241"/>
      <c r="C33" s="251">
        <v>1</v>
      </c>
      <c r="D33" s="251"/>
      <c r="E33" s="251"/>
      <c r="F33" s="204"/>
      <c r="G33" s="204"/>
      <c r="H33" s="204"/>
      <c r="I33" s="204"/>
      <c r="J33" s="204"/>
      <c r="K33" s="186"/>
      <c r="N33" s="14"/>
      <c r="O33" s="14"/>
      <c r="P33" s="163"/>
      <c r="R33" s="163"/>
    </row>
    <row r="34" spans="1:27" ht="35.049999999999997" customHeight="1" x14ac:dyDescent="0.55000000000000004">
      <c r="A34" s="241">
        <v>9</v>
      </c>
      <c r="B34" s="241"/>
      <c r="C34" s="251">
        <v>1</v>
      </c>
      <c r="D34" s="251"/>
      <c r="E34" s="251"/>
      <c r="F34" s="204"/>
      <c r="G34" s="204"/>
      <c r="H34" s="204"/>
      <c r="I34" s="204"/>
      <c r="J34" s="204"/>
      <c r="L34" s="164"/>
    </row>
    <row r="35" spans="1:27" s="23" customFormat="1" ht="35.049999999999997" customHeight="1" x14ac:dyDescent="0.55000000000000004">
      <c r="A35" s="241">
        <v>10</v>
      </c>
      <c r="B35" s="241"/>
      <c r="C35" s="251">
        <v>1</v>
      </c>
      <c r="D35" s="251"/>
      <c r="E35" s="251"/>
      <c r="F35" s="204"/>
      <c r="G35" s="204"/>
      <c r="H35" s="204"/>
      <c r="I35" s="204"/>
      <c r="J35" s="204"/>
      <c r="K35" s="161"/>
      <c r="M35"/>
      <c r="N35" s="161"/>
      <c r="O35" s="24"/>
      <c r="P35" s="25"/>
      <c r="R35" s="26"/>
    </row>
    <row r="36" spans="1:27" ht="35.049999999999997" customHeight="1" x14ac:dyDescent="0.55000000000000004">
      <c r="A36" s="241">
        <v>11</v>
      </c>
      <c r="B36" s="241"/>
      <c r="C36" s="251">
        <v>1</v>
      </c>
      <c r="D36" s="251"/>
      <c r="E36" s="251"/>
      <c r="F36" s="204"/>
      <c r="G36" s="204"/>
      <c r="H36" s="204"/>
      <c r="I36" s="204"/>
      <c r="J36" s="204"/>
      <c r="K36" s="161"/>
      <c r="N36" s="14"/>
      <c r="O36" s="14"/>
      <c r="P36" s="163"/>
      <c r="R36" s="163"/>
    </row>
    <row r="37" spans="1:27" ht="35.049999999999997" customHeight="1" x14ac:dyDescent="0.55000000000000004">
      <c r="A37" s="241">
        <v>12</v>
      </c>
      <c r="B37" s="241"/>
      <c r="C37" s="251">
        <v>1</v>
      </c>
      <c r="D37" s="251"/>
      <c r="E37" s="251"/>
      <c r="F37" s="204"/>
      <c r="G37" s="204"/>
      <c r="H37" s="204"/>
      <c r="I37" s="204"/>
      <c r="J37" s="204"/>
      <c r="L37" s="164"/>
    </row>
    <row r="38" spans="1:27" ht="32.4" customHeight="1" x14ac:dyDescent="0.55000000000000004">
      <c r="A38" s="252"/>
      <c r="B38" s="252"/>
      <c r="C38" s="252"/>
      <c r="D38" s="252"/>
      <c r="E38" s="252"/>
      <c r="F38" s="252"/>
      <c r="G38" s="252"/>
      <c r="H38" s="252"/>
      <c r="I38" s="252"/>
      <c r="J38" s="252"/>
      <c r="O38" s="15"/>
      <c r="P38" s="14"/>
    </row>
    <row r="39" spans="1:27" ht="60.9" customHeight="1" x14ac:dyDescent="0.55000000000000004">
      <c r="A39" s="253"/>
      <c r="B39" s="253"/>
      <c r="C39" s="213" t="s">
        <v>91</v>
      </c>
      <c r="D39" s="214"/>
      <c r="E39" s="2" t="s">
        <v>80</v>
      </c>
      <c r="F39" s="2" t="s">
        <v>92</v>
      </c>
      <c r="G39" s="2" t="s">
        <v>93</v>
      </c>
      <c r="H39" s="2" t="s">
        <v>94</v>
      </c>
      <c r="I39" s="250" t="s">
        <v>82</v>
      </c>
      <c r="J39" s="250"/>
      <c r="O39" s="15"/>
      <c r="P39" s="14"/>
    </row>
    <row r="40" spans="1:27" ht="43.8" customHeight="1" x14ac:dyDescent="0.55000000000000004">
      <c r="A40" s="255" t="s">
        <v>33</v>
      </c>
      <c r="B40" s="255"/>
      <c r="C40" s="215">
        <v>1.2</v>
      </c>
      <c r="D40" s="216"/>
      <c r="E40" s="10">
        <v>1</v>
      </c>
      <c r="F40" s="10">
        <v>1</v>
      </c>
      <c r="G40" s="10">
        <v>1</v>
      </c>
      <c r="H40" s="10">
        <v>1</v>
      </c>
      <c r="I40" s="251">
        <v>0.1</v>
      </c>
      <c r="J40" s="251"/>
      <c r="L40" s="164"/>
    </row>
    <row r="41" spans="1:27" ht="43.8" customHeight="1" x14ac:dyDescent="0.55000000000000004">
      <c r="A41" s="255" t="s">
        <v>35</v>
      </c>
      <c r="B41" s="255"/>
      <c r="C41" s="215">
        <v>1.4</v>
      </c>
      <c r="D41" s="216"/>
      <c r="E41" s="10">
        <v>1</v>
      </c>
      <c r="F41" s="10">
        <v>1</v>
      </c>
      <c r="G41" s="10">
        <v>1</v>
      </c>
      <c r="H41" s="10">
        <v>1</v>
      </c>
      <c r="I41" s="251"/>
      <c r="J41" s="251"/>
      <c r="L41" s="164"/>
    </row>
    <row r="42" spans="1:27" ht="56.1" customHeight="1" x14ac:dyDescent="0.55000000000000004">
      <c r="A42" s="230" t="s">
        <v>116</v>
      </c>
      <c r="B42" s="230"/>
      <c r="C42" s="230"/>
      <c r="D42" s="230"/>
      <c r="E42" s="230"/>
      <c r="F42" s="230"/>
      <c r="G42" s="230"/>
      <c r="H42" s="230"/>
      <c r="I42" s="230"/>
      <c r="J42" s="230"/>
      <c r="O42" s="15"/>
      <c r="P42" s="14"/>
    </row>
    <row r="43" spans="1:27" ht="34.200000000000003" customHeight="1" x14ac:dyDescent="0.55000000000000004">
      <c r="A43" s="27" t="s">
        <v>54</v>
      </c>
      <c r="H43" s="28"/>
      <c r="I43" s="28"/>
    </row>
    <row r="44" spans="1:27" ht="34.200000000000003" customHeight="1" x14ac:dyDescent="0.55000000000000004">
      <c r="A44" s="27"/>
      <c r="D44" s="244" t="str">
        <f>A43</f>
        <v>Инвестиции в открытие</v>
      </c>
      <c r="E44" s="244"/>
      <c r="F44" s="244"/>
      <c r="G44" s="244"/>
      <c r="H44" s="244"/>
      <c r="I44" s="244"/>
      <c r="J44" s="244"/>
    </row>
    <row r="45" spans="1:27" ht="35.1" customHeight="1" x14ac:dyDescent="0.6">
      <c r="D45" s="250" t="s">
        <v>113</v>
      </c>
      <c r="E45" s="250"/>
      <c r="F45" s="250"/>
      <c r="G45" s="250"/>
      <c r="H45" s="213" t="str">
        <f>"В валюте, в которой производится расчет, "&amp;CHOOSE($N$2,$O$2,$O$3,$O$4,$O$5)&amp;""</f>
        <v>В валюте, в которой производится расчет, USD</v>
      </c>
      <c r="I45" s="217"/>
      <c r="J45" s="214"/>
      <c r="L45" s="29"/>
      <c r="O45" s="32"/>
      <c r="P45" s="32"/>
      <c r="R45" s="32"/>
      <c r="S45" s="32"/>
      <c r="T45" s="32"/>
      <c r="U45" s="32"/>
      <c r="V45" s="32"/>
      <c r="W45" s="32"/>
      <c r="X45" s="32"/>
      <c r="Y45" s="32"/>
      <c r="Z45" s="32"/>
      <c r="AA45" s="32"/>
    </row>
    <row r="46" spans="1:27" ht="42" customHeight="1" x14ac:dyDescent="0.6">
      <c r="A46" s="29"/>
      <c r="B46" s="225" t="s">
        <v>43</v>
      </c>
      <c r="C46" s="225"/>
      <c r="D46" s="228">
        <v>3000</v>
      </c>
      <c r="E46" s="228"/>
      <c r="F46" s="228"/>
      <c r="G46" s="228"/>
      <c r="H46" s="207">
        <f t="shared" ref="H46:H53" si="1">D46/CHOOSE($N$2,1,$F$5,$H$5,$J$5)</f>
        <v>111.11111111111111</v>
      </c>
      <c r="I46" s="208"/>
      <c r="J46" s="209"/>
      <c r="K46" s="31"/>
      <c r="N46" s="32"/>
      <c r="O46" s="32"/>
      <c r="P46" s="32"/>
      <c r="R46" s="32"/>
      <c r="S46" s="32"/>
      <c r="T46" s="32"/>
      <c r="U46" s="32"/>
      <c r="V46" s="32"/>
      <c r="W46" s="32"/>
      <c r="X46" s="32"/>
      <c r="Y46" s="32"/>
      <c r="Z46" s="32"/>
    </row>
    <row r="47" spans="1:27" ht="42" customHeight="1" x14ac:dyDescent="0.75">
      <c r="A47" s="29"/>
      <c r="B47" s="234" t="s">
        <v>98</v>
      </c>
      <c r="C47" s="234"/>
      <c r="D47" s="228">
        <v>7000</v>
      </c>
      <c r="E47" s="228"/>
      <c r="F47" s="228"/>
      <c r="G47" s="228"/>
      <c r="H47" s="207">
        <f t="shared" si="1"/>
        <v>259.25925925925924</v>
      </c>
      <c r="I47" s="208"/>
      <c r="J47" s="209"/>
      <c r="K47" s="31"/>
      <c r="N47" s="32"/>
      <c r="O47" s="32"/>
      <c r="P47" s="32"/>
      <c r="R47" s="32"/>
      <c r="S47" s="190"/>
      <c r="T47" s="32"/>
      <c r="U47" s="32"/>
      <c r="V47" s="32"/>
      <c r="W47" s="32"/>
      <c r="X47" s="32"/>
      <c r="Y47" s="32"/>
      <c r="Z47" s="32"/>
    </row>
    <row r="48" spans="1:27" ht="42" customHeight="1" x14ac:dyDescent="0.6">
      <c r="A48" s="29"/>
      <c r="B48" s="234" t="s">
        <v>131</v>
      </c>
      <c r="C48" s="234"/>
      <c r="D48" s="228"/>
      <c r="E48" s="228"/>
      <c r="F48" s="228"/>
      <c r="G48" s="228"/>
      <c r="H48" s="207">
        <f t="shared" si="1"/>
        <v>0</v>
      </c>
      <c r="I48" s="208"/>
      <c r="J48" s="209"/>
      <c r="K48" s="29"/>
      <c r="N48" s="32"/>
      <c r="O48" s="32"/>
      <c r="P48" s="32"/>
      <c r="R48" s="32"/>
      <c r="S48" s="32"/>
      <c r="T48" s="32"/>
      <c r="U48" s="32"/>
      <c r="V48" s="32"/>
      <c r="W48" s="32"/>
      <c r="X48" s="32"/>
      <c r="Y48" s="32"/>
      <c r="Z48" s="32"/>
    </row>
    <row r="49" spans="1:26" ht="42" customHeight="1" x14ac:dyDescent="0.6">
      <c r="A49" s="33"/>
      <c r="B49" s="225" t="s">
        <v>53</v>
      </c>
      <c r="C49" s="225"/>
      <c r="D49" s="228"/>
      <c r="E49" s="228"/>
      <c r="F49" s="228"/>
      <c r="G49" s="228"/>
      <c r="H49" s="207">
        <f t="shared" si="1"/>
        <v>0</v>
      </c>
      <c r="I49" s="208"/>
      <c r="J49" s="209"/>
      <c r="K49" s="31"/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</row>
    <row r="50" spans="1:26" ht="42" customHeight="1" x14ac:dyDescent="0.6">
      <c r="A50" s="33"/>
      <c r="B50" s="225" t="s">
        <v>117</v>
      </c>
      <c r="C50" s="225"/>
      <c r="D50" s="228">
        <v>3000</v>
      </c>
      <c r="E50" s="228"/>
      <c r="F50" s="228"/>
      <c r="G50" s="228"/>
      <c r="H50" s="207">
        <f t="shared" si="1"/>
        <v>111.11111111111111</v>
      </c>
      <c r="I50" s="208"/>
      <c r="J50" s="209"/>
      <c r="K50" s="31"/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</row>
    <row r="51" spans="1:26" ht="42" customHeight="1" x14ac:dyDescent="0.6">
      <c r="A51" s="29"/>
      <c r="B51" s="225" t="s">
        <v>60</v>
      </c>
      <c r="C51" s="225"/>
      <c r="D51" s="228">
        <v>10000</v>
      </c>
      <c r="E51" s="228"/>
      <c r="F51" s="228"/>
      <c r="G51" s="228"/>
      <c r="H51" s="207">
        <f t="shared" si="1"/>
        <v>370.37037037037038</v>
      </c>
      <c r="I51" s="208"/>
      <c r="J51" s="209"/>
      <c r="K51" s="31"/>
      <c r="N51" s="32"/>
      <c r="O51" s="32"/>
      <c r="P51" s="32"/>
      <c r="R51" s="32"/>
      <c r="S51" s="32"/>
      <c r="T51" s="32"/>
      <c r="U51" s="32"/>
      <c r="V51" s="32"/>
      <c r="W51" s="32"/>
      <c r="X51" s="32"/>
      <c r="Y51" s="32"/>
      <c r="Z51" s="32"/>
    </row>
    <row r="52" spans="1:26" ht="42" customHeight="1" x14ac:dyDescent="0.6">
      <c r="A52" s="29"/>
      <c r="B52" s="225" t="s">
        <v>138</v>
      </c>
      <c r="C52" s="225"/>
      <c r="D52" s="228">
        <f>3000</f>
        <v>3000</v>
      </c>
      <c r="E52" s="228"/>
      <c r="F52" s="228"/>
      <c r="G52" s="228"/>
      <c r="H52" s="207">
        <f>D52*CHOOSE($N$2,$F$5,1,$F$5/$H$5,$F$5/$J$5)</f>
        <v>3000</v>
      </c>
      <c r="I52" s="208"/>
      <c r="J52" s="209"/>
      <c r="K52" s="31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</row>
    <row r="53" spans="1:26" ht="42" customHeight="1" x14ac:dyDescent="0.6">
      <c r="A53" s="29"/>
      <c r="B53" s="225" t="s">
        <v>2</v>
      </c>
      <c r="C53" s="225"/>
      <c r="D53" s="228"/>
      <c r="E53" s="228"/>
      <c r="F53" s="228"/>
      <c r="G53" s="228"/>
      <c r="H53" s="207">
        <f t="shared" si="1"/>
        <v>0</v>
      </c>
      <c r="I53" s="208"/>
      <c r="J53" s="209"/>
      <c r="K53" s="31"/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</row>
    <row r="54" spans="1:26" ht="42" customHeight="1" x14ac:dyDescent="0.6">
      <c r="A54" s="29"/>
      <c r="B54" s="235" t="s">
        <v>0</v>
      </c>
      <c r="C54" s="235"/>
      <c r="D54" s="254"/>
      <c r="E54" s="254"/>
      <c r="F54" s="254"/>
      <c r="G54" s="254"/>
      <c r="H54" s="246">
        <f>SUM(H46:J53)</f>
        <v>3851.8518518518517</v>
      </c>
      <c r="I54" s="247"/>
      <c r="J54" s="248"/>
      <c r="K54" s="31"/>
      <c r="L54" s="34"/>
      <c r="N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</row>
    <row r="55" spans="1:26" ht="61.2" customHeight="1" x14ac:dyDescent="0.6">
      <c r="A55" s="230"/>
      <c r="B55" s="230"/>
      <c r="C55" s="230"/>
      <c r="D55" s="230"/>
      <c r="E55" s="230"/>
      <c r="F55" s="230"/>
      <c r="G55" s="230"/>
      <c r="H55" s="230"/>
      <c r="I55" s="230"/>
      <c r="J55" s="230"/>
      <c r="K55" s="31"/>
      <c r="N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</row>
    <row r="56" spans="1:26" ht="34.200000000000003" customHeight="1" x14ac:dyDescent="0.7">
      <c r="A56" s="27" t="s">
        <v>61</v>
      </c>
      <c r="B56" s="35"/>
      <c r="C56" s="35"/>
      <c r="D56" s="35"/>
      <c r="E56" s="35"/>
      <c r="F56" s="35"/>
      <c r="G56" s="35"/>
      <c r="H56" s="35"/>
      <c r="I56" s="35"/>
      <c r="J56" s="35"/>
      <c r="K56" s="31"/>
      <c r="N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</row>
    <row r="57" spans="1:26" ht="47.1" customHeight="1" x14ac:dyDescent="0.6">
      <c r="A57" s="239" t="s">
        <v>62</v>
      </c>
      <c r="B57" s="239"/>
      <c r="C57" s="239"/>
      <c r="D57" s="256" t="s">
        <v>99</v>
      </c>
      <c r="E57" s="256" t="s">
        <v>106</v>
      </c>
      <c r="F57" s="256"/>
      <c r="G57" s="256"/>
      <c r="H57" s="256"/>
      <c r="I57" s="239" t="s">
        <v>75</v>
      </c>
      <c r="J57" s="239" t="s">
        <v>76</v>
      </c>
      <c r="K57" s="31"/>
      <c r="N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</row>
    <row r="58" spans="1:26" ht="60" customHeight="1" x14ac:dyDescent="0.6">
      <c r="A58" s="239"/>
      <c r="B58" s="239"/>
      <c r="C58" s="239"/>
      <c r="D58" s="256"/>
      <c r="E58" s="239" t="s">
        <v>114</v>
      </c>
      <c r="F58" s="239"/>
      <c r="G58" s="239" t="str">
        <f>"В валюте, в которой производится расчет, "&amp;CHOOSE($N$2,$O$2,$O$3,$O$4,$O$5)&amp;"/мес."</f>
        <v>В валюте, в которой производится расчет, USD/мес.</v>
      </c>
      <c r="H58" s="239"/>
      <c r="I58" s="239"/>
      <c r="J58" s="239"/>
      <c r="K58" s="31"/>
      <c r="N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</row>
    <row r="59" spans="1:26" s="23" customFormat="1" ht="40" customHeight="1" x14ac:dyDescent="0.55000000000000004">
      <c r="A59" s="259" t="s">
        <v>132</v>
      </c>
      <c r="B59" s="259"/>
      <c r="C59" s="259"/>
      <c r="D59" s="192">
        <v>1</v>
      </c>
      <c r="E59" s="249">
        <v>0</v>
      </c>
      <c r="F59" s="249"/>
      <c r="G59" s="260">
        <f>E59/CHOOSE($N$2,1,$F$5,$H$5,$J$5)</f>
        <v>0</v>
      </c>
      <c r="H59" s="260"/>
      <c r="I59" s="199">
        <v>0</v>
      </c>
      <c r="J59" s="191" t="s">
        <v>66</v>
      </c>
      <c r="K59" s="31"/>
      <c r="M59" s="165"/>
      <c r="N59" s="38"/>
      <c r="P59" s="38"/>
      <c r="Q59" s="38"/>
      <c r="R59" s="38"/>
      <c r="S59" s="38"/>
      <c r="T59" s="38"/>
      <c r="U59" s="38"/>
      <c r="V59" s="38"/>
      <c r="W59" s="38"/>
      <c r="X59" s="38"/>
      <c r="Y59" s="38"/>
      <c r="Z59" s="38"/>
    </row>
    <row r="60" spans="1:26" ht="25.8" customHeight="1" x14ac:dyDescent="0.7">
      <c r="A60" s="258"/>
      <c r="B60" s="258"/>
      <c r="C60" s="258"/>
      <c r="D60" s="258"/>
      <c r="E60" s="258"/>
      <c r="F60" s="258"/>
      <c r="G60" s="258"/>
      <c r="H60" s="258"/>
      <c r="I60" s="258"/>
      <c r="J60" s="258"/>
      <c r="K60" s="31"/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</row>
    <row r="61" spans="1:26" ht="42" customHeight="1" x14ac:dyDescent="0.55000000000000004">
      <c r="A61" s="21" t="s">
        <v>1</v>
      </c>
      <c r="D61" s="39"/>
      <c r="E61" s="39"/>
      <c r="H61" s="242"/>
      <c r="I61" s="242"/>
      <c r="J61" s="242"/>
    </row>
    <row r="62" spans="1:26" ht="42" customHeight="1" x14ac:dyDescent="0.55000000000000004">
      <c r="D62" s="245" t="s">
        <v>77</v>
      </c>
      <c r="E62" s="245"/>
      <c r="F62" s="245"/>
      <c r="G62" s="245"/>
      <c r="H62" s="245"/>
      <c r="I62" s="245"/>
      <c r="J62" s="245"/>
    </row>
    <row r="63" spans="1:26" ht="58.8" customHeight="1" x14ac:dyDescent="0.55000000000000004">
      <c r="A63" s="21"/>
      <c r="D63" s="257" t="s">
        <v>137</v>
      </c>
      <c r="E63" s="257"/>
      <c r="F63" s="257"/>
      <c r="G63" s="257"/>
      <c r="H63" s="210" t="str">
        <f>"В валюте, в которой производится расчет, "&amp;CHOOSE($N$2,$O$2,$O$3,$O$4,$O$5)&amp;"/мес. (1 договор)*"</f>
        <v>В валюте, в которой производится расчет, USD/мес. (1 договор)*</v>
      </c>
      <c r="I63" s="211"/>
      <c r="J63" s="212"/>
    </row>
    <row r="64" spans="1:26" ht="43" customHeight="1" x14ac:dyDescent="0.55000000000000004">
      <c r="A64" s="41"/>
      <c r="B64" s="234" t="s">
        <v>136</v>
      </c>
      <c r="C64" s="238"/>
      <c r="D64" s="228">
        <v>20</v>
      </c>
      <c r="E64" s="228"/>
      <c r="F64" s="228"/>
      <c r="G64" s="228"/>
      <c r="H64" s="207">
        <f>D64*CHOOSE($N$2,$F$5,1,$F$5/$H$5,$F$5/$J$5)</f>
        <v>20</v>
      </c>
      <c r="I64" s="208"/>
      <c r="J64" s="209"/>
      <c r="L64" s="29"/>
    </row>
    <row r="65" spans="1:27" ht="43" customHeight="1" x14ac:dyDescent="0.6">
      <c r="A65" s="29"/>
      <c r="B65" s="231" t="s">
        <v>55</v>
      </c>
      <c r="C65" s="232"/>
      <c r="D65" s="228">
        <v>3000</v>
      </c>
      <c r="E65" s="228"/>
      <c r="F65" s="228"/>
      <c r="G65" s="228"/>
      <c r="H65" s="207">
        <f t="shared" ref="H64:H70" si="2">D65/CHOOSE($N$2,1,$F$5,$H$5,$J$5)</f>
        <v>111.11111111111111</v>
      </c>
      <c r="I65" s="208"/>
      <c r="J65" s="209"/>
      <c r="K65" s="31"/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</row>
    <row r="66" spans="1:27" ht="43" customHeight="1" x14ac:dyDescent="0.55000000000000004">
      <c r="A66" s="29"/>
      <c r="B66" s="231" t="s">
        <v>56</v>
      </c>
      <c r="C66" s="232"/>
      <c r="D66" s="228"/>
      <c r="E66" s="228"/>
      <c r="F66" s="228"/>
      <c r="G66" s="228"/>
      <c r="H66" s="207">
        <f t="shared" si="2"/>
        <v>0</v>
      </c>
      <c r="I66" s="208"/>
      <c r="J66" s="209"/>
      <c r="L66" s="23"/>
    </row>
    <row r="67" spans="1:27" ht="43" customHeight="1" x14ac:dyDescent="0.55000000000000004">
      <c r="B67" s="225" t="s">
        <v>107</v>
      </c>
      <c r="C67" s="226"/>
      <c r="D67" s="228"/>
      <c r="E67" s="228"/>
      <c r="F67" s="228"/>
      <c r="G67" s="228"/>
      <c r="H67" s="207">
        <f t="shared" si="2"/>
        <v>0</v>
      </c>
      <c r="I67" s="208"/>
      <c r="J67" s="209"/>
      <c r="L67" s="23"/>
    </row>
    <row r="68" spans="1:27" ht="43" customHeight="1" x14ac:dyDescent="0.55000000000000004">
      <c r="A68" s="29"/>
      <c r="B68" s="225" t="s">
        <v>108</v>
      </c>
      <c r="C68" s="226"/>
      <c r="D68" s="228"/>
      <c r="E68" s="228"/>
      <c r="F68" s="228"/>
      <c r="G68" s="228"/>
      <c r="H68" s="207">
        <f t="shared" si="2"/>
        <v>0</v>
      </c>
      <c r="I68" s="208"/>
      <c r="J68" s="209"/>
      <c r="L68" s="23"/>
    </row>
    <row r="69" spans="1:27" ht="43" customHeight="1" x14ac:dyDescent="0.6">
      <c r="B69" s="225" t="s">
        <v>63</v>
      </c>
      <c r="C69" s="226"/>
      <c r="D69" s="228">
        <v>150</v>
      </c>
      <c r="E69" s="228"/>
      <c r="F69" s="228"/>
      <c r="G69" s="228"/>
      <c r="H69" s="207">
        <f t="shared" si="2"/>
        <v>5.5555555555555554</v>
      </c>
      <c r="I69" s="208"/>
      <c r="J69" s="209"/>
      <c r="K69" s="42"/>
      <c r="L69" s="29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</row>
    <row r="70" spans="1:27" ht="43" customHeight="1" x14ac:dyDescent="0.6">
      <c r="B70" s="225" t="s">
        <v>120</v>
      </c>
      <c r="C70" s="226"/>
      <c r="D70" s="228"/>
      <c r="E70" s="228"/>
      <c r="F70" s="228"/>
      <c r="G70" s="228"/>
      <c r="H70" s="207">
        <f t="shared" si="2"/>
        <v>0</v>
      </c>
      <c r="I70" s="208"/>
      <c r="J70" s="209"/>
      <c r="K70" s="42"/>
      <c r="L70" s="29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</row>
    <row r="71" spans="1:27" ht="49.5" customHeight="1" x14ac:dyDescent="0.55000000000000004">
      <c r="B71" s="225" t="s">
        <v>78</v>
      </c>
      <c r="C71" s="226"/>
      <c r="D71" s="222">
        <v>0</v>
      </c>
      <c r="E71" s="222"/>
      <c r="F71" s="222"/>
      <c r="G71" s="222"/>
      <c r="H71" s="210" t="s">
        <v>85</v>
      </c>
      <c r="I71" s="211"/>
      <c r="J71" s="212"/>
    </row>
    <row r="72" spans="1:27" ht="42" customHeight="1" x14ac:dyDescent="0.6">
      <c r="B72" s="225"/>
      <c r="C72" s="226"/>
      <c r="D72" s="227">
        <v>0</v>
      </c>
      <c r="E72" s="227"/>
      <c r="F72" s="227"/>
      <c r="G72" s="227"/>
      <c r="H72" s="210" t="s">
        <v>86</v>
      </c>
      <c r="I72" s="211"/>
      <c r="J72" s="212"/>
      <c r="K72" s="42"/>
      <c r="L72" s="29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</row>
    <row r="73" spans="1:27" ht="43" customHeight="1" x14ac:dyDescent="0.6">
      <c r="B73" s="225" t="s">
        <v>118</v>
      </c>
      <c r="C73" s="225"/>
      <c r="D73" s="228"/>
      <c r="E73" s="228"/>
      <c r="F73" s="228"/>
      <c r="G73" s="228"/>
      <c r="H73" s="207">
        <f>D73/CHOOSE($N$2,1,$F$5,$H$5,$J$5)</f>
        <v>0</v>
      </c>
      <c r="I73" s="208"/>
      <c r="J73" s="209"/>
      <c r="K73" s="42"/>
      <c r="L73" s="29"/>
      <c r="O73" s="32"/>
    </row>
    <row r="74" spans="1:27" ht="43" customHeight="1" x14ac:dyDescent="0.6">
      <c r="B74" s="225" t="s">
        <v>101</v>
      </c>
      <c r="C74" s="225"/>
      <c r="D74" s="227">
        <v>0</v>
      </c>
      <c r="E74" s="227"/>
      <c r="F74" s="227"/>
      <c r="G74" s="227"/>
      <c r="H74" s="210" t="s">
        <v>103</v>
      </c>
      <c r="I74" s="211"/>
      <c r="J74" s="212"/>
      <c r="K74" s="42"/>
      <c r="L74" s="29"/>
      <c r="O74" s="32"/>
    </row>
    <row r="75" spans="1:27" ht="43" customHeight="1" x14ac:dyDescent="0.6">
      <c r="B75" s="225" t="s">
        <v>102</v>
      </c>
      <c r="C75" s="225"/>
      <c r="D75" s="228">
        <v>0</v>
      </c>
      <c r="E75" s="228"/>
      <c r="F75" s="228"/>
      <c r="G75" s="228"/>
      <c r="H75" s="207">
        <f>D75/CHOOSE($N$2,1,$F$5,$H$5,$J$5)</f>
        <v>0</v>
      </c>
      <c r="I75" s="208"/>
      <c r="J75" s="209"/>
      <c r="K75" s="42"/>
      <c r="L75" s="29"/>
      <c r="O75" s="32"/>
    </row>
    <row r="76" spans="1:27" ht="43" customHeight="1" x14ac:dyDescent="0.55000000000000004">
      <c r="B76" s="225" t="s">
        <v>119</v>
      </c>
      <c r="C76" s="226"/>
      <c r="D76" s="228"/>
      <c r="E76" s="228"/>
      <c r="F76" s="228"/>
      <c r="G76" s="228"/>
      <c r="H76" s="207">
        <f>D76/CHOOSE($N$2,1,$F$5,$H$5,$J$5)</f>
        <v>0</v>
      </c>
      <c r="I76" s="208"/>
      <c r="J76" s="209"/>
    </row>
    <row r="77" spans="1:27" ht="43" customHeight="1" x14ac:dyDescent="0.55000000000000004">
      <c r="B77" s="225" t="s">
        <v>2</v>
      </c>
      <c r="C77" s="226"/>
      <c r="D77" s="228"/>
      <c r="E77" s="228"/>
      <c r="F77" s="228"/>
      <c r="G77" s="228"/>
      <c r="H77" s="207">
        <f>D77/CHOOSE($N$2,1,$F$5,$H$5,$J$5)</f>
        <v>0</v>
      </c>
      <c r="I77" s="208"/>
      <c r="J77" s="209"/>
    </row>
    <row r="78" spans="1:27" ht="51" customHeight="1" x14ac:dyDescent="0.55000000000000004">
      <c r="A78" s="224" t="s">
        <v>121</v>
      </c>
      <c r="B78" s="224"/>
      <c r="C78" s="224"/>
      <c r="D78" s="224"/>
      <c r="E78" s="224"/>
      <c r="F78" s="224"/>
      <c r="G78" s="224"/>
      <c r="H78" s="224"/>
      <c r="I78" s="224"/>
      <c r="J78" s="224"/>
    </row>
  </sheetData>
  <sheetProtection formatCells="0" formatColumns="0" formatRows="0" insertColumns="0" insertRows="0" insertHyperlinks="0" deleteColumns="0" deleteRows="0" sort="0" autoFilter="0" pivotTables="0"/>
  <mergeCells count="155">
    <mergeCell ref="A26:B26"/>
    <mergeCell ref="A22:B22"/>
    <mergeCell ref="C22:D22"/>
    <mergeCell ref="E22:F22"/>
    <mergeCell ref="I57:I58"/>
    <mergeCell ref="A30:B30"/>
    <mergeCell ref="A31:B31"/>
    <mergeCell ref="A32:B32"/>
    <mergeCell ref="A33:B33"/>
    <mergeCell ref="A34:B34"/>
    <mergeCell ref="A37:B37"/>
    <mergeCell ref="A35:B35"/>
    <mergeCell ref="A36:B36"/>
    <mergeCell ref="C26:E26"/>
    <mergeCell ref="C27:E27"/>
    <mergeCell ref="A25:B25"/>
    <mergeCell ref="C25:E25"/>
    <mergeCell ref="I22:J22"/>
    <mergeCell ref="C37:E37"/>
    <mergeCell ref="C28:E28"/>
    <mergeCell ref="C29:E29"/>
    <mergeCell ref="C30:E30"/>
    <mergeCell ref="C31:E31"/>
    <mergeCell ref="C32:E32"/>
    <mergeCell ref="D69:G69"/>
    <mergeCell ref="D65:G65"/>
    <mergeCell ref="D57:D58"/>
    <mergeCell ref="D63:G63"/>
    <mergeCell ref="A60:J60"/>
    <mergeCell ref="B68:C68"/>
    <mergeCell ref="D68:G68"/>
    <mergeCell ref="D67:G67"/>
    <mergeCell ref="A57:C58"/>
    <mergeCell ref="A59:C59"/>
    <mergeCell ref="E57:H57"/>
    <mergeCell ref="G58:H58"/>
    <mergeCell ref="G59:H59"/>
    <mergeCell ref="E58:F58"/>
    <mergeCell ref="E59:F59"/>
    <mergeCell ref="I39:J39"/>
    <mergeCell ref="A28:B28"/>
    <mergeCell ref="I40:J41"/>
    <mergeCell ref="A38:J38"/>
    <mergeCell ref="A42:J42"/>
    <mergeCell ref="A39:B39"/>
    <mergeCell ref="D53:G53"/>
    <mergeCell ref="D54:G54"/>
    <mergeCell ref="A40:B40"/>
    <mergeCell ref="A41:B41"/>
    <mergeCell ref="D45:G45"/>
    <mergeCell ref="D46:G46"/>
    <mergeCell ref="D47:G47"/>
    <mergeCell ref="D48:G48"/>
    <mergeCell ref="D49:G49"/>
    <mergeCell ref="D50:G50"/>
    <mergeCell ref="D51:G51"/>
    <mergeCell ref="D52:G52"/>
    <mergeCell ref="A29:B29"/>
    <mergeCell ref="C33:E33"/>
    <mergeCell ref="C34:E34"/>
    <mergeCell ref="C35:E35"/>
    <mergeCell ref="A1:J1"/>
    <mergeCell ref="A55:J55"/>
    <mergeCell ref="B76:C76"/>
    <mergeCell ref="B69:C69"/>
    <mergeCell ref="B65:C65"/>
    <mergeCell ref="B67:C67"/>
    <mergeCell ref="A2:J2"/>
    <mergeCell ref="B47:C47"/>
    <mergeCell ref="B66:C66"/>
    <mergeCell ref="B54:C54"/>
    <mergeCell ref="B52:C52"/>
    <mergeCell ref="B71:C72"/>
    <mergeCell ref="A5:D5"/>
    <mergeCell ref="B51:C51"/>
    <mergeCell ref="B49:C49"/>
    <mergeCell ref="B64:C64"/>
    <mergeCell ref="D64:G64"/>
    <mergeCell ref="J57:J58"/>
    <mergeCell ref="A8:B9"/>
    <mergeCell ref="A27:B27"/>
    <mergeCell ref="H61:J61"/>
    <mergeCell ref="A23:J23"/>
    <mergeCell ref="B48:C48"/>
    <mergeCell ref="D44:J44"/>
    <mergeCell ref="A78:J78"/>
    <mergeCell ref="B50:C50"/>
    <mergeCell ref="B77:C77"/>
    <mergeCell ref="B46:C46"/>
    <mergeCell ref="D74:G74"/>
    <mergeCell ref="D75:G75"/>
    <mergeCell ref="D76:G76"/>
    <mergeCell ref="D77:G77"/>
    <mergeCell ref="B75:C75"/>
    <mergeCell ref="B73:C73"/>
    <mergeCell ref="B74:C74"/>
    <mergeCell ref="B53:C53"/>
    <mergeCell ref="D71:G71"/>
    <mergeCell ref="D72:G72"/>
    <mergeCell ref="D73:G73"/>
    <mergeCell ref="D62:J62"/>
    <mergeCell ref="D66:G66"/>
    <mergeCell ref="B70:C70"/>
    <mergeCell ref="D70:G70"/>
    <mergeCell ref="H50:J50"/>
    <mergeCell ref="H51:J51"/>
    <mergeCell ref="H52:J52"/>
    <mergeCell ref="H53:J53"/>
    <mergeCell ref="H54:J54"/>
    <mergeCell ref="A10:B21"/>
    <mergeCell ref="C10:D21"/>
    <mergeCell ref="E10:F21"/>
    <mergeCell ref="G10:G21"/>
    <mergeCell ref="I10:J10"/>
    <mergeCell ref="I11:J11"/>
    <mergeCell ref="I12:J12"/>
    <mergeCell ref="I13:J13"/>
    <mergeCell ref="I14:J14"/>
    <mergeCell ref="I15:J15"/>
    <mergeCell ref="I16:J16"/>
    <mergeCell ref="I17:J17"/>
    <mergeCell ref="I18:J18"/>
    <mergeCell ref="I19:J19"/>
    <mergeCell ref="I20:J20"/>
    <mergeCell ref="I21:J21"/>
    <mergeCell ref="C39:D39"/>
    <mergeCell ref="C40:D40"/>
    <mergeCell ref="C41:D41"/>
    <mergeCell ref="H45:J45"/>
    <mergeCell ref="H46:J46"/>
    <mergeCell ref="H47:J47"/>
    <mergeCell ref="H48:J48"/>
    <mergeCell ref="H49:J49"/>
    <mergeCell ref="C8:F8"/>
    <mergeCell ref="C9:D9"/>
    <mergeCell ref="E9:F9"/>
    <mergeCell ref="I8:J9"/>
    <mergeCell ref="H8:H9"/>
    <mergeCell ref="G8:G9"/>
    <mergeCell ref="C36:E36"/>
    <mergeCell ref="H70:J70"/>
    <mergeCell ref="H71:J71"/>
    <mergeCell ref="H72:J72"/>
    <mergeCell ref="H73:J73"/>
    <mergeCell ref="H74:J74"/>
    <mergeCell ref="H75:J75"/>
    <mergeCell ref="H76:J76"/>
    <mergeCell ref="H77:J77"/>
    <mergeCell ref="H63:J63"/>
    <mergeCell ref="H64:J64"/>
    <mergeCell ref="H65:J65"/>
    <mergeCell ref="H66:J66"/>
    <mergeCell ref="H67:J67"/>
    <mergeCell ref="H68:J68"/>
    <mergeCell ref="H69:J69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25" orientation="portrait" r:id="rId1"/>
  <rowBreaks count="1" manualBreakCount="1">
    <brk id="55" max="9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097" r:id="rId4" name="Drop Down 1">
              <controlPr locked="0" defaultSize="0" autoLine="0" autoPict="0">
                <anchor moveWithCells="1">
                  <from>
                    <xdr:col>3</xdr:col>
                    <xdr:colOff>704850</xdr:colOff>
                    <xdr:row>2</xdr:row>
                    <xdr:rowOff>57150</xdr:rowOff>
                  </from>
                  <to>
                    <xdr:col>4</xdr:col>
                    <xdr:colOff>956310</xdr:colOff>
                    <xdr:row>2</xdr:row>
                    <xdr:rowOff>342900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8" r:id="rId5" name="Drop Down 2">
              <controlPr locked="0" defaultSize="0" autoLine="0" autoPict="0">
                <anchor moveWithCells="1">
                  <from>
                    <xdr:col>3</xdr:col>
                    <xdr:colOff>685800</xdr:colOff>
                    <xdr:row>3</xdr:row>
                    <xdr:rowOff>49530</xdr:rowOff>
                  </from>
                  <to>
                    <xdr:col>4</xdr:col>
                    <xdr:colOff>963930</xdr:colOff>
                    <xdr:row>3</xdr:row>
                    <xdr:rowOff>342900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E80EF0-B160-43F5-ABE2-7DAF51CC1651}">
  <sheetPr codeName="Лист2">
    <pageSetUpPr fitToPage="1"/>
  </sheetPr>
  <dimension ref="A1:W50"/>
  <sheetViews>
    <sheetView showGridLines="0" tabSelected="1" topLeftCell="A36" zoomScale="70" zoomScaleNormal="70" zoomScaleSheetLayoutView="70" workbookViewId="0">
      <selection activeCell="B27" sqref="B27:C27"/>
    </sheetView>
  </sheetViews>
  <sheetFormatPr defaultRowHeight="34.200000000000003" customHeight="1" x14ac:dyDescent="0.55000000000000004"/>
  <cols>
    <col min="1" max="1" width="8.41796875" customWidth="1"/>
    <col min="2" max="2" width="30.5234375" customWidth="1"/>
    <col min="3" max="3" width="31.15625" customWidth="1"/>
    <col min="4" max="4" width="26.734375" customWidth="1"/>
    <col min="5" max="5" width="44.3125" customWidth="1"/>
    <col min="6" max="6" width="25" customWidth="1"/>
    <col min="7" max="7" width="16.47265625" customWidth="1"/>
    <col min="8" max="8" width="40.7890625" customWidth="1"/>
    <col min="9" max="9" width="11.83984375" customWidth="1"/>
    <col min="10" max="11" width="9.15625" hidden="1" customWidth="1"/>
    <col min="12" max="12" width="1.68359375" hidden="1" customWidth="1"/>
    <col min="13" max="13" width="15.7890625" hidden="1" customWidth="1"/>
    <col min="14" max="14" width="6.20703125" customWidth="1"/>
    <col min="15" max="15" width="11.7890625" bestFit="1" customWidth="1"/>
    <col min="16" max="16" width="8.83984375" customWidth="1"/>
  </cols>
  <sheetData>
    <row r="1" spans="1:22" ht="59.4" customHeight="1" x14ac:dyDescent="0.55000000000000004">
      <c r="A1" s="233" t="s">
        <v>127</v>
      </c>
      <c r="B1" s="233"/>
      <c r="C1" s="233"/>
      <c r="D1" s="233"/>
      <c r="E1" s="233"/>
      <c r="F1" s="233"/>
      <c r="G1" s="233"/>
      <c r="H1" s="233"/>
      <c r="I1" s="11"/>
      <c r="J1" s="12">
        <f>D41</f>
        <v>2535.333333333333</v>
      </c>
      <c r="K1" s="13">
        <f>G41</f>
        <v>0.91776772247360472</v>
      </c>
      <c r="L1" s="168">
        <v>2</v>
      </c>
      <c r="M1" s="168" t="s">
        <v>103</v>
      </c>
      <c r="N1" s="15"/>
      <c r="O1" s="15"/>
      <c r="P1" s="14"/>
    </row>
    <row r="2" spans="1:22" ht="34.200000000000003" customHeight="1" x14ac:dyDescent="0.55000000000000004">
      <c r="A2" s="282" t="s">
        <v>48</v>
      </c>
      <c r="B2" s="282"/>
      <c r="C2" s="282"/>
      <c r="D2" s="16" t="str">
        <f>CHOOSE('Исходные данные'!$N$2,'Исходные данные'!$O$2,'Исходные данные'!$O$3,'Исходные данные'!$O$4,'Исходные данные'!$O$5)</f>
        <v>USD</v>
      </c>
      <c r="E2" s="280"/>
      <c r="F2" s="280"/>
      <c r="H2" s="17"/>
      <c r="I2" s="17"/>
      <c r="J2" s="12">
        <f>D43</f>
        <v>3195.3333333333335</v>
      </c>
      <c r="K2" s="13">
        <f>G43</f>
        <v>0.92618357487922709</v>
      </c>
      <c r="L2" s="168"/>
      <c r="M2" s="168" t="s">
        <v>104</v>
      </c>
      <c r="N2" s="15"/>
      <c r="O2" s="15"/>
      <c r="P2" s="14"/>
    </row>
    <row r="3" spans="1:22" ht="34.200000000000003" customHeight="1" x14ac:dyDescent="0.55000000000000004">
      <c r="A3" s="282" t="s">
        <v>23</v>
      </c>
      <c r="B3" s="282"/>
      <c r="C3" s="282"/>
      <c r="D3" s="196" t="str">
        <f>CHOOSE('Исходные данные'!$P$2,'Исходные данные'!$Q$2,'Исходные данные'!$Q$3,'Исходные данные'!$Q$4,'Исходные данные'!$Q$5,'Исходные данные'!$Q$6,'Исходные данные'!$Q$7,'Исходные данные'!$Q$8,'Исходные данные'!$Q$9,'Исходные данные'!$Q$10,'Исходные данные'!$Q$11,'Исходные данные'!$Q$12,'Исходные данные'!$Q$13)</f>
        <v>январь</v>
      </c>
      <c r="G3" s="20" t="s">
        <v>105</v>
      </c>
      <c r="H3" s="17"/>
      <c r="I3" s="17"/>
      <c r="J3" s="12">
        <f>D45</f>
        <v>3747.3333333333339</v>
      </c>
      <c r="K3" s="13">
        <f>G45</f>
        <v>0.93101449275362336</v>
      </c>
      <c r="L3" s="168"/>
    </row>
    <row r="4" spans="1:22" ht="34.200000000000003" customHeight="1" x14ac:dyDescent="0.55000000000000004">
      <c r="A4" s="21" t="s">
        <v>49</v>
      </c>
      <c r="J4" s="12">
        <f>D47</f>
        <v>1</v>
      </c>
      <c r="K4" s="22"/>
      <c r="L4" s="14"/>
      <c r="M4" s="14"/>
    </row>
    <row r="5" spans="1:22" s="23" customFormat="1" ht="98.4" customHeight="1" x14ac:dyDescent="0.55000000000000004">
      <c r="A5" s="250" t="str">
        <f>'Исходные данные'!A8</f>
        <v>Группы услуг</v>
      </c>
      <c r="B5" s="250"/>
      <c r="C5" s="266" t="str">
        <f>"Среднемесячная выручка за 1-й год работы*, "&amp;CHOOSE('Исходные данные'!$N$2,'Исходные данные'!$O$2,'Исходные данные'!$O$3,'Исходные данные'!$O$4,'Исходные данные'!$O$5)&amp;"/мес."</f>
        <v>Среднемесячная выручка за 1-й год работы*, USD/мес.</v>
      </c>
      <c r="D5" s="266"/>
      <c r="E5" s="266" t="str">
        <f>"Среднемесячная выручка за 2-й год работы*, "&amp;CHOOSE('Исходные данные'!$N$2,'Исходные данные'!$O$2,'Исходные данные'!$O$3,'Исходные данные'!$O$4,'Исходные данные'!$O$5)&amp;"/мес."</f>
        <v>Среднемесячная выручка за 2-й год работы*, USD/мес.</v>
      </c>
      <c r="F5" s="266"/>
      <c r="G5" s="266" t="str">
        <f>"Среднемесячная выручка за 3-й год работы*, "&amp;CHOOSE('Исходные данные'!$N$2,'Исходные данные'!$O$2,'Исходные данные'!$O$3,'Исходные данные'!$O$4,'Исходные данные'!$O$5)&amp;"/мес."</f>
        <v>Среднемесячная выручка за 3-й год работы*, USD/мес.</v>
      </c>
      <c r="H5" s="266"/>
      <c r="J5" s="12">
        <f>D49</f>
        <v>3</v>
      </c>
      <c r="L5" s="24"/>
      <c r="M5" s="25"/>
      <c r="N5" s="14"/>
      <c r="O5" s="26"/>
    </row>
    <row r="6" spans="1:22" s="23" customFormat="1" ht="46.8" customHeight="1" x14ac:dyDescent="0.55000000000000004">
      <c r="A6" s="283" t="s">
        <v>134</v>
      </c>
      <c r="B6" s="283"/>
      <c r="C6" s="221">
        <f>'Детальный расчет'!P14</f>
        <v>2762.5</v>
      </c>
      <c r="D6" s="221"/>
      <c r="E6" s="221">
        <f>'Детальный расчет'!AD14</f>
        <v>3450</v>
      </c>
      <c r="F6" s="221"/>
      <c r="G6" s="221">
        <f>'Детальный расчет'!AR14</f>
        <v>4025</v>
      </c>
      <c r="H6" s="221"/>
      <c r="J6" s="12">
        <f>D15</f>
        <v>3000</v>
      </c>
      <c r="L6" s="24"/>
      <c r="M6" s="25"/>
      <c r="N6" s="14"/>
      <c r="O6" s="26"/>
    </row>
    <row r="7" spans="1:22" ht="34.200000000000003" customHeight="1" x14ac:dyDescent="0.55000000000000004">
      <c r="A7" s="281" t="s">
        <v>133</v>
      </c>
      <c r="B7" s="281"/>
      <c r="C7" s="281"/>
      <c r="D7" s="281"/>
      <c r="E7" s="281"/>
      <c r="F7" s="281"/>
      <c r="G7" s="281"/>
      <c r="H7" s="281"/>
      <c r="J7" s="12"/>
    </row>
    <row r="8" spans="1:22" ht="34.200000000000003" customHeight="1" x14ac:dyDescent="0.55000000000000004">
      <c r="A8" s="27" t="s">
        <v>54</v>
      </c>
      <c r="E8" s="28"/>
      <c r="F8" s="28"/>
      <c r="G8" s="28"/>
      <c r="J8" s="12">
        <f>D17-D15</f>
        <v>851.85185185185173</v>
      </c>
    </row>
    <row r="9" spans="1:22" ht="42" customHeight="1" x14ac:dyDescent="0.6">
      <c r="A9" s="29"/>
      <c r="B9" s="225" t="str">
        <f>'Исходные данные'!B46:C46</f>
        <v>Ремонт помещения</v>
      </c>
      <c r="C9" s="225"/>
      <c r="D9" s="279">
        <f>'Исходные данные'!H46</f>
        <v>111.11111111111111</v>
      </c>
      <c r="E9" s="279"/>
      <c r="F9" s="279"/>
      <c r="G9" s="279"/>
      <c r="H9" s="30" t="str">
        <f>""&amp;CHOOSE('Исходные данные'!$N$2,'Исходные данные'!$O$2,'Исходные данные'!$O$3,'Исходные данные'!$O$4,'Исходные данные'!$O$5)&amp;""</f>
        <v>USD</v>
      </c>
      <c r="I9" s="31"/>
      <c r="J9" s="12"/>
      <c r="L9" s="32"/>
      <c r="N9" s="32"/>
      <c r="O9" s="32"/>
      <c r="P9" s="32"/>
      <c r="Q9" s="32"/>
      <c r="R9" s="32"/>
      <c r="S9" s="32"/>
      <c r="T9" s="32"/>
      <c r="U9" s="32"/>
      <c r="V9" s="32"/>
    </row>
    <row r="10" spans="1:22" ht="42" customHeight="1" x14ac:dyDescent="0.6">
      <c r="A10" s="29"/>
      <c r="B10" s="225" t="str">
        <f>'Исходные данные'!B47:C47</f>
        <v>Мебель</v>
      </c>
      <c r="C10" s="225"/>
      <c r="D10" s="279">
        <f>'Исходные данные'!H47</f>
        <v>259.25925925925924</v>
      </c>
      <c r="E10" s="279"/>
      <c r="F10" s="279"/>
      <c r="G10" s="279"/>
      <c r="H10" s="30" t="str">
        <f>""&amp;CHOOSE('Исходные данные'!$N$2,'Исходные данные'!$O$2,'Исходные данные'!$O$3,'Исходные данные'!$O$4,'Исходные данные'!$O$5)&amp;""</f>
        <v>USD</v>
      </c>
      <c r="I10" s="31"/>
      <c r="J10" s="12">
        <f>D19-D17</f>
        <v>-3851.8518518518517</v>
      </c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32"/>
    </row>
    <row r="11" spans="1:22" ht="42" customHeight="1" x14ac:dyDescent="0.6">
      <c r="A11" s="29"/>
      <c r="B11" s="225" t="str">
        <f>'Исходные данные'!B48:C48</f>
        <v>Компьютер и  офисная техника</v>
      </c>
      <c r="C11" s="225"/>
      <c r="D11" s="279">
        <f>'Исходные данные'!H48</f>
        <v>0</v>
      </c>
      <c r="E11" s="279"/>
      <c r="F11" s="279"/>
      <c r="G11" s="279"/>
      <c r="H11" s="30" t="str">
        <f>""&amp;CHOOSE('Исходные данные'!$N$2,'Исходные данные'!$O$2,'Исходные данные'!$O$3,'Исходные данные'!$O$4,'Исходные данные'!$O$5)&amp;""</f>
        <v>USD</v>
      </c>
      <c r="I11" s="31"/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32"/>
    </row>
    <row r="12" spans="1:22" ht="42" customHeight="1" x14ac:dyDescent="0.6">
      <c r="A12" s="33"/>
      <c r="B12" s="225" t="str">
        <f>'Исходные данные'!B49:C49</f>
        <v>Сигнализация (охранная и пожарная)</v>
      </c>
      <c r="C12" s="225"/>
      <c r="D12" s="279">
        <f>'Исходные данные'!H49</f>
        <v>0</v>
      </c>
      <c r="E12" s="279"/>
      <c r="F12" s="279"/>
      <c r="G12" s="279"/>
      <c r="H12" s="30" t="str">
        <f>""&amp;CHOOSE('Исходные данные'!$N$2,'Исходные данные'!$O$2,'Исходные данные'!$O$3,'Исходные данные'!$O$4,'Исходные данные'!$O$5)&amp;""</f>
        <v>USD</v>
      </c>
      <c r="I12" s="31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32"/>
    </row>
    <row r="13" spans="1:22" ht="42" customHeight="1" x14ac:dyDescent="0.6">
      <c r="A13" s="33"/>
      <c r="B13" s="225" t="str">
        <f>'Исходные данные'!B50:C50</f>
        <v>Залоговый платёж по аренде</v>
      </c>
      <c r="C13" s="225"/>
      <c r="D13" s="279">
        <f>'Исходные данные'!H50</f>
        <v>111.11111111111111</v>
      </c>
      <c r="E13" s="279"/>
      <c r="F13" s="279"/>
      <c r="G13" s="279"/>
      <c r="H13" s="30" t="str">
        <f>""&amp;CHOOSE('Исходные данные'!$N$2,'Исходные данные'!$O$2,'Исходные данные'!$O$3,'Исходные данные'!$O$4,'Исходные данные'!$O$5)&amp;""</f>
        <v>USD</v>
      </c>
      <c r="I13" s="31"/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32"/>
    </row>
    <row r="14" spans="1:22" ht="42" customHeight="1" x14ac:dyDescent="0.6">
      <c r="A14" s="29"/>
      <c r="B14" s="225" t="str">
        <f>'Исходные данные'!B51:C51</f>
        <v>Рекламная кампания</v>
      </c>
      <c r="C14" s="225"/>
      <c r="D14" s="279">
        <f>'Исходные данные'!H51</f>
        <v>370.37037037037038</v>
      </c>
      <c r="E14" s="279"/>
      <c r="F14" s="279"/>
      <c r="G14" s="279"/>
      <c r="H14" s="30" t="str">
        <f>""&amp;CHOOSE('Исходные данные'!$N$2,'Исходные данные'!$O$2,'Исходные данные'!$O$3,'Исходные данные'!$O$4,'Исходные данные'!$O$5)&amp;""</f>
        <v>USD</v>
      </c>
      <c r="I14" s="31"/>
      <c r="L14" s="32"/>
      <c r="N14" s="32"/>
      <c r="O14" s="32"/>
      <c r="P14" s="32"/>
      <c r="Q14" s="32"/>
      <c r="R14" s="32"/>
      <c r="S14" s="32"/>
      <c r="T14" s="32"/>
      <c r="U14" s="32"/>
      <c r="V14" s="32"/>
    </row>
    <row r="15" spans="1:22" ht="42" customHeight="1" x14ac:dyDescent="0.6">
      <c r="A15" s="29"/>
      <c r="B15" s="225" t="s">
        <v>22</v>
      </c>
      <c r="C15" s="226"/>
      <c r="D15" s="279">
        <f>'Исходные данные'!H52</f>
        <v>3000</v>
      </c>
      <c r="E15" s="279"/>
      <c r="F15" s="279"/>
      <c r="G15" s="279"/>
      <c r="H15" s="30" t="str">
        <f>""&amp;CHOOSE('Исходные данные'!$N$2,'Исходные данные'!$O$2,'Исходные данные'!$O$3,'Исходные данные'!$O$4,'Исходные данные'!$O$5)&amp;""</f>
        <v>USD</v>
      </c>
      <c r="I15" s="31"/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32"/>
    </row>
    <row r="16" spans="1:22" ht="42" customHeight="1" x14ac:dyDescent="0.6">
      <c r="A16" s="29"/>
      <c r="B16" s="225" t="s">
        <v>2</v>
      </c>
      <c r="C16" s="226"/>
      <c r="D16" s="279">
        <f>'Исходные данные'!H53</f>
        <v>0</v>
      </c>
      <c r="E16" s="279"/>
      <c r="F16" s="279"/>
      <c r="G16" s="279"/>
      <c r="H16" s="30" t="str">
        <f>""&amp;CHOOSE('Исходные данные'!$N$2,'Исходные данные'!$O$2,'Исходные данные'!$O$3,'Исходные данные'!$O$4,'Исходные данные'!$O$5)&amp;""</f>
        <v>USD</v>
      </c>
      <c r="I16" s="31"/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32"/>
    </row>
    <row r="17" spans="1:23" ht="42" customHeight="1" x14ac:dyDescent="0.6">
      <c r="A17" s="29"/>
      <c r="B17" s="235" t="s">
        <v>0</v>
      </c>
      <c r="C17" s="287"/>
      <c r="D17" s="254">
        <f>SUM(D9:G16)</f>
        <v>3851.8518518518517</v>
      </c>
      <c r="E17" s="254"/>
      <c r="F17" s="254"/>
      <c r="G17" s="254"/>
      <c r="H17" s="30" t="str">
        <f>""&amp;CHOOSE('Исходные данные'!$N$2,'Исходные данные'!$O$2,'Исходные данные'!$O$3,'Исходные данные'!$O$4,'Исходные данные'!$O$5)&amp;""</f>
        <v>USD</v>
      </c>
      <c r="I17" s="31"/>
      <c r="J17" s="34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32"/>
    </row>
    <row r="18" spans="1:23" ht="34.200000000000003" customHeight="1" x14ac:dyDescent="0.7">
      <c r="A18" s="286"/>
      <c r="B18" s="286"/>
      <c r="C18" s="286"/>
      <c r="D18" s="286"/>
      <c r="E18" s="286"/>
      <c r="F18" s="286"/>
      <c r="G18" s="286"/>
      <c r="H18" s="286"/>
      <c r="I18" s="31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32"/>
    </row>
    <row r="19" spans="1:23" ht="34.200000000000003" customHeight="1" x14ac:dyDescent="0.7">
      <c r="A19" s="21" t="s">
        <v>61</v>
      </c>
      <c r="B19" s="35"/>
      <c r="C19" s="35"/>
      <c r="D19" s="35"/>
      <c r="E19" s="35"/>
      <c r="F19" s="35"/>
      <c r="G19" s="35"/>
      <c r="H19" s="35"/>
      <c r="I19" s="31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32"/>
    </row>
    <row r="20" spans="1:23" ht="57.3" customHeight="1" x14ac:dyDescent="0.6">
      <c r="A20" s="239" t="s">
        <v>62</v>
      </c>
      <c r="B20" s="239"/>
      <c r="C20" s="36" t="str">
        <f>'Исходные данные'!D57</f>
        <v>Количество сотрудников, чел.</v>
      </c>
      <c r="D20" s="239" t="str">
        <f>"Фиксированный оклад в месяц, "&amp;CHOOSE('Исходные данные'!$N$2,'Исходные данные'!$O$2,'Исходные данные'!$O$3,'Исходные данные'!$O$4,'Исходные данные'!$O$5)&amp;"/мес."</f>
        <v>Фиксированный оклад в месяц, USD/мес.</v>
      </c>
      <c r="E20" s="239"/>
      <c r="F20" s="239" t="s">
        <v>75</v>
      </c>
      <c r="G20" s="239"/>
      <c r="H20" s="36" t="s">
        <v>76</v>
      </c>
      <c r="J20" s="31"/>
      <c r="M20" s="32"/>
      <c r="N20" s="32"/>
      <c r="O20" s="32"/>
      <c r="P20" s="32"/>
      <c r="Q20" s="32"/>
      <c r="R20" s="32"/>
      <c r="S20" s="32"/>
      <c r="T20" s="32"/>
      <c r="U20" s="32"/>
      <c r="V20" s="32"/>
      <c r="W20" s="32"/>
    </row>
    <row r="21" spans="1:23" s="23" customFormat="1" ht="40" customHeight="1" x14ac:dyDescent="0.55000000000000004">
      <c r="A21" s="263" t="str">
        <f>'Исходные данные'!A59</f>
        <v>Менеджер</v>
      </c>
      <c r="B21" s="263"/>
      <c r="C21" s="37">
        <f>'Исходные данные'!D59</f>
        <v>1</v>
      </c>
      <c r="D21" s="260">
        <f>'Исходные данные'!G59</f>
        <v>0</v>
      </c>
      <c r="E21" s="260"/>
      <c r="F21" s="264">
        <f>'Исходные данные'!I59</f>
        <v>0</v>
      </c>
      <c r="G21" s="264"/>
      <c r="H21" s="191" t="str">
        <f>'Исходные данные'!J59</f>
        <v>общая выручка</v>
      </c>
      <c r="J21" s="31"/>
      <c r="M21" s="38"/>
      <c r="N21" s="38"/>
      <c r="O21" s="38"/>
      <c r="P21" s="38"/>
      <c r="Q21" s="38"/>
      <c r="R21" s="38"/>
      <c r="S21" s="38"/>
      <c r="T21" s="38"/>
      <c r="U21" s="38"/>
      <c r="V21" s="38"/>
      <c r="W21" s="38"/>
    </row>
    <row r="22" spans="1:23" ht="34.200000000000003" customHeight="1" x14ac:dyDescent="0.7">
      <c r="A22" s="258"/>
      <c r="B22" s="258"/>
      <c r="C22" s="258"/>
      <c r="D22" s="258"/>
      <c r="E22" s="258"/>
      <c r="F22" s="258"/>
      <c r="G22" s="258"/>
      <c r="H22" s="258"/>
      <c r="I22" s="31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</row>
    <row r="23" spans="1:23" ht="34.200000000000003" customHeight="1" x14ac:dyDescent="0.55000000000000004">
      <c r="A23" s="21" t="s">
        <v>1</v>
      </c>
      <c r="J23" s="23"/>
    </row>
    <row r="24" spans="1:23" ht="35.700000000000003" customHeight="1" x14ac:dyDescent="0.55000000000000004">
      <c r="A24" s="21"/>
      <c r="D24" s="193" t="s">
        <v>67</v>
      </c>
      <c r="F24" s="265" t="s">
        <v>73</v>
      </c>
      <c r="G24" s="265"/>
      <c r="H24" s="39"/>
      <c r="J24" s="23"/>
    </row>
    <row r="25" spans="1:23" ht="42" customHeight="1" x14ac:dyDescent="0.55000000000000004">
      <c r="B25" s="225" t="s">
        <v>44</v>
      </c>
      <c r="C25" s="226"/>
      <c r="D25" s="194">
        <f>F25/'Детальный расчет'!$P$15</f>
        <v>0</v>
      </c>
      <c r="F25" s="207">
        <f>'Детальный расчет'!P31</f>
        <v>0</v>
      </c>
      <c r="G25" s="209"/>
      <c r="H25" s="40" t="str">
        <f>""&amp;CHOOSE('Исходные данные'!$N$2,'Исходные данные'!$O$2,'Исходные данные'!$O$3,'Исходные данные'!$O$4,'Исходные данные'!$O$5)&amp;"/мес."</f>
        <v>USD/мес.</v>
      </c>
    </row>
    <row r="26" spans="1:23" ht="42" customHeight="1" x14ac:dyDescent="0.55000000000000004">
      <c r="A26" s="41"/>
      <c r="B26" s="231" t="s">
        <v>122</v>
      </c>
      <c r="C26" s="232"/>
      <c r="D26" s="194">
        <f>F26/'Детальный расчет'!$P$15</f>
        <v>4.0221216691804923E-2</v>
      </c>
      <c r="F26" s="207">
        <f>'Детальный расчет'!P33</f>
        <v>111.1111111111111</v>
      </c>
      <c r="G26" s="209"/>
      <c r="H26" s="40" t="str">
        <f>""&amp;CHOOSE('Исходные данные'!$N$2,'Исходные данные'!$O$2,'Исходные данные'!$O$3,'Исходные данные'!$O$4,'Исходные данные'!$O$5)&amp;"/мес."</f>
        <v>USD/мес.</v>
      </c>
    </row>
    <row r="27" spans="1:23" ht="42" customHeight="1" x14ac:dyDescent="0.6">
      <c r="A27" s="29"/>
      <c r="B27" s="231" t="str">
        <f>'Исходные данные'!B65</f>
        <v>Аренда</v>
      </c>
      <c r="C27" s="232"/>
      <c r="D27" s="194">
        <f>F27/'Детальный расчет'!$P$15</f>
        <v>4.0221216691804923E-2</v>
      </c>
      <c r="F27" s="207">
        <f>'Детальный расчет'!P33</f>
        <v>111.1111111111111</v>
      </c>
      <c r="G27" s="209"/>
      <c r="H27" s="40" t="str">
        <f>""&amp;CHOOSE('Исходные данные'!$N$2,'Исходные данные'!$O$2,'Исходные данные'!$O$3,'Исходные данные'!$O$4,'Исходные данные'!$O$5)&amp;"/мес."</f>
        <v>USD/мес.</v>
      </c>
      <c r="I27" s="42"/>
      <c r="J27" s="29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32"/>
      <c r="W27" s="32"/>
    </row>
    <row r="28" spans="1:23" ht="42" customHeight="1" x14ac:dyDescent="0.6">
      <c r="A28" s="29"/>
      <c r="B28" s="231" t="str">
        <f>'Исходные данные'!B66</f>
        <v>Коммунальные платежи</v>
      </c>
      <c r="C28" s="232"/>
      <c r="D28" s="194">
        <f>F28/'Детальный расчет'!$P$15</f>
        <v>0</v>
      </c>
      <c r="F28" s="207">
        <f>'Детальный расчет'!P34</f>
        <v>0</v>
      </c>
      <c r="G28" s="209"/>
      <c r="H28" s="40" t="str">
        <f>""&amp;CHOOSE('Исходные данные'!$N$2,'Исходные данные'!$O$2,'Исходные данные'!$O$3,'Исходные данные'!$O$4,'Исходные данные'!$O$5)&amp;"/мес."</f>
        <v>USD/мес.</v>
      </c>
      <c r="I28" s="42"/>
      <c r="J28" s="29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32"/>
      <c r="W28" s="32"/>
    </row>
    <row r="29" spans="1:23" ht="42" customHeight="1" x14ac:dyDescent="0.55000000000000004">
      <c r="B29" s="231" t="str">
        <f>'Исходные данные'!B67</f>
        <v>Хозяйственные нужды</v>
      </c>
      <c r="C29" s="232"/>
      <c r="D29" s="194">
        <f>F29/'Детальный расчет'!$P$15</f>
        <v>0</v>
      </c>
      <c r="F29" s="207">
        <f>'Детальный расчет'!P35</f>
        <v>0</v>
      </c>
      <c r="G29" s="209"/>
      <c r="H29" s="40" t="str">
        <f>""&amp;CHOOSE('Исходные данные'!$N$2,'Исходные данные'!$O$2,'Исходные данные'!$O$3,'Исходные данные'!$O$4,'Исходные данные'!$O$5)&amp;"/мес."</f>
        <v>USD/мес.</v>
      </c>
    </row>
    <row r="30" spans="1:23" ht="42" customHeight="1" x14ac:dyDescent="0.55000000000000004">
      <c r="B30" s="231" t="s">
        <v>109</v>
      </c>
      <c r="C30" s="232"/>
      <c r="D30" s="194">
        <f>F30/'Детальный расчет'!$P$15</f>
        <v>0</v>
      </c>
      <c r="F30" s="207">
        <f>'Детальный расчет'!P36</f>
        <v>0</v>
      </c>
      <c r="G30" s="209"/>
      <c r="H30" s="40" t="str">
        <f>""&amp;CHOOSE('Исходные данные'!$N$2,'Исходные данные'!$O$2,'Исходные данные'!$O$3,'Исходные данные'!$O$4,'Исходные данные'!$O$5)&amp;"/мес."</f>
        <v>USD/мес.</v>
      </c>
    </row>
    <row r="31" spans="1:23" ht="42" customHeight="1" x14ac:dyDescent="0.55000000000000004">
      <c r="B31" s="225" t="str">
        <f>'Исходные данные'!B69</f>
        <v>Услуги связи и интернет</v>
      </c>
      <c r="C31" s="226"/>
      <c r="D31" s="194">
        <f>F31/'Детальный расчет'!$P$15</f>
        <v>2.0110608345902466E-3</v>
      </c>
      <c r="F31" s="207">
        <f>'Детальный расчет'!P37</f>
        <v>5.5555555555555562</v>
      </c>
      <c r="G31" s="209"/>
      <c r="H31" s="40" t="str">
        <f>""&amp;CHOOSE('Исходные данные'!$N$2,'Исходные данные'!$O$2,'Исходные данные'!$O$3,'Исходные данные'!$O$4,'Исходные данные'!$O$5)&amp;"/мес."</f>
        <v>USD/мес.</v>
      </c>
    </row>
    <row r="32" spans="1:23" ht="42" customHeight="1" x14ac:dyDescent="0.55000000000000004">
      <c r="B32" s="225" t="str">
        <f>'Исходные данные'!B70</f>
        <v>Ведение бухгалтерского учёта</v>
      </c>
      <c r="C32" s="226"/>
      <c r="D32" s="194">
        <f>F32/'Детальный расчет'!$P$15</f>
        <v>0</v>
      </c>
      <c r="F32" s="207">
        <f>'Детальный расчет'!P38</f>
        <v>0</v>
      </c>
      <c r="G32" s="209"/>
      <c r="H32" s="40" t="str">
        <f>""&amp;CHOOSE('Исходные данные'!$N$2,'Исходные данные'!$O$2,'Исходные данные'!$O$3,'Исходные данные'!$O$4,'Исходные данные'!$O$5)&amp;"/мес."</f>
        <v>USD/мес.</v>
      </c>
    </row>
    <row r="33" spans="1:22" ht="42" customHeight="1" x14ac:dyDescent="0.55000000000000004">
      <c r="B33" s="225" t="s">
        <v>78</v>
      </c>
      <c r="C33" s="226"/>
      <c r="D33" s="194">
        <f>F33/'Детальный расчет'!$P$15</f>
        <v>0</v>
      </c>
      <c r="F33" s="207">
        <f>'Детальный расчет'!P39</f>
        <v>0</v>
      </c>
      <c r="G33" s="209"/>
      <c r="H33" s="40" t="str">
        <f>""&amp;CHOOSE('Исходные данные'!$N$2,'Исходные данные'!$O$2,'Исходные данные'!$O$3,'Исходные данные'!$O$4,'Исходные данные'!$O$5)&amp;"/мес."</f>
        <v>USD/мес.</v>
      </c>
    </row>
    <row r="34" spans="1:22" ht="42" customHeight="1" x14ac:dyDescent="0.55000000000000004">
      <c r="B34" s="225" t="s">
        <v>118</v>
      </c>
      <c r="C34" s="226"/>
      <c r="D34" s="194">
        <f>F34/'Детальный расчет'!$P$15</f>
        <v>0</v>
      </c>
      <c r="F34" s="207">
        <f>'Детальный расчет'!P40</f>
        <v>0</v>
      </c>
      <c r="G34" s="209"/>
      <c r="H34" s="40" t="str">
        <f>""&amp;CHOOSE('Исходные данные'!$N$2,'Исходные данные'!$O$2,'Исходные данные'!$O$3,'Исходные данные'!$O$4,'Исходные данные'!$O$5)&amp;"/мес."</f>
        <v>USD/мес.</v>
      </c>
    </row>
    <row r="35" spans="1:22" ht="42" customHeight="1" x14ac:dyDescent="0.55000000000000004">
      <c r="B35" s="225" t="s">
        <v>68</v>
      </c>
      <c r="C35" s="226"/>
      <c r="D35" s="194">
        <f>F35/'Детальный расчет'!$P$15</f>
        <v>0</v>
      </c>
      <c r="F35" s="207">
        <f>'Детальный расчет'!P41</f>
        <v>0</v>
      </c>
      <c r="G35" s="209"/>
      <c r="H35" s="40" t="str">
        <f>""&amp;CHOOSE('Исходные данные'!$N$2,'Исходные данные'!$O$2,'Исходные данные'!$O$3,'Исходные данные'!$O$4,'Исходные данные'!$O$5)&amp;"/мес."</f>
        <v>USD/мес.</v>
      </c>
    </row>
    <row r="36" spans="1:22" ht="42" customHeight="1" x14ac:dyDescent="0.55000000000000004">
      <c r="B36" s="225" t="s">
        <v>112</v>
      </c>
      <c r="C36" s="226"/>
      <c r="D36" s="194">
        <f>F36/'Детальный расчет'!$P$15</f>
        <v>0</v>
      </c>
      <c r="F36" s="207">
        <f>'Детальный расчет'!P42</f>
        <v>0</v>
      </c>
      <c r="G36" s="209"/>
      <c r="H36" s="40" t="str">
        <f>""&amp;CHOOSE('Исходные данные'!$N$2,'Исходные данные'!$O$2,'Исходные данные'!$O$3,'Исходные данные'!$O$4,'Исходные данные'!$O$5)&amp;"/мес."</f>
        <v>USD/мес.</v>
      </c>
    </row>
    <row r="37" spans="1:22" ht="42" customHeight="1" x14ac:dyDescent="0.55000000000000004">
      <c r="B37" s="225" t="s">
        <v>2</v>
      </c>
      <c r="C37" s="226"/>
      <c r="D37" s="194">
        <f>F37/'Детальный расчет'!$P$15</f>
        <v>0</v>
      </c>
      <c r="F37" s="207">
        <f>'Детальный расчет'!P43</f>
        <v>0</v>
      </c>
      <c r="G37" s="209"/>
      <c r="H37" s="40" t="str">
        <f>""&amp;CHOOSE('Исходные данные'!$N$2,'Исходные данные'!$O$2,'Исходные данные'!$O$3,'Исходные данные'!$O$4,'Исходные данные'!$O$5)&amp;"/мес."</f>
        <v>USD/мес.</v>
      </c>
    </row>
    <row r="38" spans="1:22" ht="34.200000000000003" customHeight="1" x14ac:dyDescent="0.55000000000000004">
      <c r="B38" s="271" t="s">
        <v>3</v>
      </c>
      <c r="C38" s="271"/>
      <c r="D38" s="195">
        <f>SUM(D25:D37)</f>
        <v>8.2453494218200099E-2</v>
      </c>
      <c r="F38" s="285">
        <f>SUM(F25:G37)</f>
        <v>227.77777777777774</v>
      </c>
      <c r="G38" s="285"/>
      <c r="H38" s="40" t="str">
        <f>""&amp;CHOOSE('Исходные данные'!$N$2,'Исходные данные'!$O$2,'Исходные данные'!$O$3,'Исходные данные'!$O$4,'Исходные данные'!$O$5)&amp;"/мес."</f>
        <v>USD/мес.</v>
      </c>
    </row>
    <row r="39" spans="1:22" ht="16.2" customHeight="1" x14ac:dyDescent="0.6">
      <c r="A39" s="230"/>
      <c r="B39" s="230"/>
      <c r="C39" s="230"/>
      <c r="D39" s="230"/>
      <c r="E39" s="230"/>
      <c r="F39" s="230"/>
      <c r="G39" s="230"/>
      <c r="H39" s="230"/>
      <c r="I39" s="31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</row>
    <row r="40" spans="1:22" ht="52.5" customHeight="1" x14ac:dyDescent="0.55000000000000004">
      <c r="A40" s="23"/>
      <c r="B40" s="23"/>
      <c r="C40" s="23"/>
      <c r="D40" s="43"/>
      <c r="E40" s="44"/>
      <c r="F40" s="43"/>
      <c r="G40" s="217" t="s">
        <v>83</v>
      </c>
      <c r="H40" s="217"/>
      <c r="I40" s="31"/>
    </row>
    <row r="41" spans="1:22" ht="45" customHeight="1" x14ac:dyDescent="0.55000000000000004">
      <c r="A41" s="267" t="s">
        <v>88</v>
      </c>
      <c r="B41" s="267"/>
      <c r="C41" s="267"/>
      <c r="D41" s="284">
        <f>'Детальный расчет'!P53</f>
        <v>2535.333333333333</v>
      </c>
      <c r="E41" s="284"/>
      <c r="F41" s="45" t="str">
        <f>""&amp;CHOOSE('Исходные данные'!$N$2,'Исходные данные'!$O$2,'Исходные данные'!$O$3,'Исходные данные'!$O$4,'Исходные данные'!$O$5)&amp;"/мес."</f>
        <v>USD/мес.</v>
      </c>
      <c r="G41" s="276">
        <f>'Детальный расчет'!P53/'Детальный расчет'!P47</f>
        <v>0.91776772247360472</v>
      </c>
      <c r="H41" s="276"/>
      <c r="I41" s="29"/>
    </row>
    <row r="42" spans="1:22" ht="8.0500000000000007" customHeight="1" x14ac:dyDescent="0.55000000000000004">
      <c r="D42" s="278"/>
      <c r="E42" s="278"/>
      <c r="G42" s="275"/>
      <c r="H42" s="275"/>
      <c r="I42" s="29"/>
    </row>
    <row r="43" spans="1:22" ht="45" customHeight="1" x14ac:dyDescent="0.55000000000000004">
      <c r="A43" s="267" t="s">
        <v>89</v>
      </c>
      <c r="B43" s="267"/>
      <c r="C43" s="267"/>
      <c r="D43" s="284">
        <f>'Детальный расчет'!AD53</f>
        <v>3195.3333333333335</v>
      </c>
      <c r="E43" s="284"/>
      <c r="F43" s="45" t="str">
        <f>""&amp;CHOOSE('Исходные данные'!$N$2,'Исходные данные'!$O$2,'Исходные данные'!$O$3,'Исходные данные'!$O$4,'Исходные данные'!$O$5)&amp;"/мес."</f>
        <v>USD/мес.</v>
      </c>
      <c r="G43" s="276">
        <f>'Детальный расчет'!AD53/'Детальный расчет'!AD47</f>
        <v>0.92618357487922709</v>
      </c>
      <c r="H43" s="276"/>
      <c r="I43" s="29"/>
    </row>
    <row r="44" spans="1:22" ht="8.0500000000000007" customHeight="1" x14ac:dyDescent="0.55000000000000004">
      <c r="D44" s="278"/>
      <c r="E44" s="278"/>
      <c r="G44" s="275"/>
      <c r="H44" s="275"/>
    </row>
    <row r="45" spans="1:22" ht="45" customHeight="1" x14ac:dyDescent="0.55000000000000004">
      <c r="A45" s="267" t="s">
        <v>90</v>
      </c>
      <c r="B45" s="267"/>
      <c r="C45" s="267"/>
      <c r="D45" s="277">
        <f>'Детальный расчет'!AR53</f>
        <v>3747.3333333333339</v>
      </c>
      <c r="E45" s="277"/>
      <c r="F45" s="45" t="str">
        <f>""&amp;CHOOSE('Исходные данные'!$N$2,'Исходные данные'!$O$2,'Исходные данные'!$O$3,'Исходные данные'!$O$4,'Исходные данные'!$O$5)&amp;"/мес."</f>
        <v>USD/мес.</v>
      </c>
      <c r="G45" s="276">
        <f>'Детальный расчет'!AR53/'Детальный расчет'!AR47</f>
        <v>0.93101449275362336</v>
      </c>
      <c r="H45" s="276"/>
    </row>
    <row r="46" spans="1:22" ht="8.0500000000000007" customHeight="1" x14ac:dyDescent="0.55000000000000004">
      <c r="F46" s="28"/>
      <c r="G46" s="28"/>
      <c r="H46" s="28"/>
    </row>
    <row r="47" spans="1:22" ht="45" customHeight="1" x14ac:dyDescent="0.55000000000000004">
      <c r="A47" s="269" t="s">
        <v>47</v>
      </c>
      <c r="B47" s="269"/>
      <c r="C47" s="270"/>
      <c r="D47" s="272">
        <f>'Детальный расчет'!B77</f>
        <v>1</v>
      </c>
      <c r="E47" s="273"/>
      <c r="F47" s="274"/>
      <c r="G47" s="46" t="s">
        <v>4</v>
      </c>
    </row>
    <row r="48" spans="1:22" ht="8.0500000000000007" customHeight="1" x14ac:dyDescent="0.55000000000000004">
      <c r="D48" s="275"/>
      <c r="E48" s="275"/>
      <c r="F48" s="275"/>
      <c r="G48" s="28"/>
    </row>
    <row r="49" spans="1:8" ht="45" customHeight="1" x14ac:dyDescent="0.55000000000000004">
      <c r="A49" s="267" t="s">
        <v>64</v>
      </c>
      <c r="B49" s="267"/>
      <c r="C49" s="268"/>
      <c r="D49" s="272">
        <f>'Детальный расчет'!B76</f>
        <v>3</v>
      </c>
      <c r="E49" s="273"/>
      <c r="F49" s="274"/>
      <c r="G49" s="46" t="s">
        <v>4</v>
      </c>
    </row>
    <row r="50" spans="1:8" ht="8.1" customHeight="1" x14ac:dyDescent="0.55000000000000004">
      <c r="A50" s="47"/>
      <c r="B50" s="48"/>
      <c r="C50" s="48"/>
      <c r="D50" s="48"/>
      <c r="E50" s="49"/>
      <c r="F50" s="49"/>
      <c r="G50" s="49"/>
      <c r="H50" s="48"/>
    </row>
  </sheetData>
  <sheetProtection formatCells="0" formatColumns="0" formatRows="0" insertColumns="0" insertRows="0" insertHyperlinks="0" deleteColumns="0" deleteRows="0" sort="0" autoFilter="0" pivotTables="0"/>
  <mergeCells count="88">
    <mergeCell ref="B10:C10"/>
    <mergeCell ref="D10:G10"/>
    <mergeCell ref="D11:G11"/>
    <mergeCell ref="D12:G12"/>
    <mergeCell ref="A18:H18"/>
    <mergeCell ref="B11:C11"/>
    <mergeCell ref="B16:C16"/>
    <mergeCell ref="B17:C17"/>
    <mergeCell ref="B14:C14"/>
    <mergeCell ref="B15:C15"/>
    <mergeCell ref="D15:G15"/>
    <mergeCell ref="D16:G16"/>
    <mergeCell ref="D17:G17"/>
    <mergeCell ref="B27:C27"/>
    <mergeCell ref="B28:C28"/>
    <mergeCell ref="B29:C29"/>
    <mergeCell ref="B26:C26"/>
    <mergeCell ref="F26:G26"/>
    <mergeCell ref="F29:G29"/>
    <mergeCell ref="F31:G31"/>
    <mergeCell ref="F33:G33"/>
    <mergeCell ref="F34:G34"/>
    <mergeCell ref="F27:G27"/>
    <mergeCell ref="F28:G28"/>
    <mergeCell ref="E6:F6"/>
    <mergeCell ref="B35:C35"/>
    <mergeCell ref="D41:E41"/>
    <mergeCell ref="D42:E42"/>
    <mergeCell ref="D43:E43"/>
    <mergeCell ref="B31:C31"/>
    <mergeCell ref="B33:C33"/>
    <mergeCell ref="B34:C34"/>
    <mergeCell ref="B30:C30"/>
    <mergeCell ref="F35:G35"/>
    <mergeCell ref="F36:G36"/>
    <mergeCell ref="F37:G37"/>
    <mergeCell ref="F38:G38"/>
    <mergeCell ref="B32:C32"/>
    <mergeCell ref="F32:G32"/>
    <mergeCell ref="F30:G30"/>
    <mergeCell ref="B12:C12"/>
    <mergeCell ref="B13:C13"/>
    <mergeCell ref="D13:G13"/>
    <mergeCell ref="D14:G14"/>
    <mergeCell ref="A1:H1"/>
    <mergeCell ref="E2:F2"/>
    <mergeCell ref="A5:B5"/>
    <mergeCell ref="A7:H7"/>
    <mergeCell ref="B9:C9"/>
    <mergeCell ref="D9:G9"/>
    <mergeCell ref="A2:C2"/>
    <mergeCell ref="G5:H5"/>
    <mergeCell ref="G6:H6"/>
    <mergeCell ref="A3:C3"/>
    <mergeCell ref="A6:B6"/>
    <mergeCell ref="E5:F5"/>
    <mergeCell ref="G42:H42"/>
    <mergeCell ref="G43:H43"/>
    <mergeCell ref="G44:H44"/>
    <mergeCell ref="G45:H45"/>
    <mergeCell ref="D45:E45"/>
    <mergeCell ref="D44:E44"/>
    <mergeCell ref="C5:D5"/>
    <mergeCell ref="C6:D6"/>
    <mergeCell ref="A49:C49"/>
    <mergeCell ref="A45:C45"/>
    <mergeCell ref="A47:C47"/>
    <mergeCell ref="B36:C36"/>
    <mergeCell ref="B37:C37"/>
    <mergeCell ref="B38:C38"/>
    <mergeCell ref="A39:H39"/>
    <mergeCell ref="A41:C41"/>
    <mergeCell ref="A43:C43"/>
    <mergeCell ref="D47:F47"/>
    <mergeCell ref="D48:F48"/>
    <mergeCell ref="D49:F49"/>
    <mergeCell ref="G40:H40"/>
    <mergeCell ref="G41:H41"/>
    <mergeCell ref="A20:B20"/>
    <mergeCell ref="A21:B21"/>
    <mergeCell ref="B25:C25"/>
    <mergeCell ref="A22:H22"/>
    <mergeCell ref="F20:G20"/>
    <mergeCell ref="F21:G21"/>
    <mergeCell ref="F25:G25"/>
    <mergeCell ref="F24:G24"/>
    <mergeCell ref="D20:E20"/>
    <mergeCell ref="D21:E21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40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150" r:id="rId4" name="Drop Down 1">
              <controlPr locked="0" defaultSize="0" autoLine="0" autoPict="0">
                <anchor moveWithCells="1">
                  <from>
                    <xdr:col>7</xdr:col>
                    <xdr:colOff>102870</xdr:colOff>
                    <xdr:row>2</xdr:row>
                    <xdr:rowOff>7620</xdr:rowOff>
                  </from>
                  <to>
                    <xdr:col>7</xdr:col>
                    <xdr:colOff>2221230</xdr:colOff>
                    <xdr:row>2</xdr:row>
                    <xdr:rowOff>323850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Лист3">
    <outlinePr summaryBelow="0" summaryRight="0"/>
    <pageSetUpPr fitToPage="1"/>
  </sheetPr>
  <dimension ref="A1:BB95"/>
  <sheetViews>
    <sheetView zoomScale="90" zoomScaleNormal="90" zoomScaleSheetLayoutView="70" workbookViewId="0">
      <pane xSplit="2" ySplit="5" topLeftCell="C6" activePane="bottomRight" state="frozen"/>
      <selection pane="topRight" activeCell="C1" sqref="C1"/>
      <selection pane="bottomLeft" activeCell="A7" sqref="A7"/>
      <selection pane="bottomRight" activeCell="AE32" sqref="AE32:AP32"/>
    </sheetView>
  </sheetViews>
  <sheetFormatPr defaultRowHeight="12.3" outlineLevelRow="1" outlineLevelCol="1" x14ac:dyDescent="0.4"/>
  <cols>
    <col min="1" max="1" width="51.20703125" style="8" bestFit="1" customWidth="1"/>
    <col min="2" max="2" width="12.578125" style="8" customWidth="1"/>
    <col min="3" max="14" width="11" style="50" customWidth="1" outlineLevel="1"/>
    <col min="15" max="15" width="11" style="157" customWidth="1"/>
    <col min="16" max="16" width="13.83984375" style="157" customWidth="1"/>
    <col min="17" max="28" width="11" style="50" customWidth="1" outlineLevel="1"/>
    <col min="29" max="29" width="11" style="157" customWidth="1"/>
    <col min="30" max="30" width="14.26171875" style="157" customWidth="1"/>
    <col min="31" max="42" width="11" style="50" customWidth="1" outlineLevel="1"/>
    <col min="43" max="43" width="11" style="157" customWidth="1"/>
    <col min="44" max="44" width="14.26171875" style="157" customWidth="1"/>
    <col min="45" max="45" width="12.83984375" style="50" customWidth="1"/>
    <col min="46" max="46" width="10" style="50" bestFit="1" customWidth="1"/>
    <col min="47" max="285" width="9.15625" style="50"/>
    <col min="286" max="286" width="53" style="50" customWidth="1"/>
    <col min="287" max="287" width="14.41796875" style="50" customWidth="1"/>
    <col min="288" max="300" width="11" style="50" customWidth="1"/>
    <col min="301" max="301" width="12.83984375" style="50" customWidth="1"/>
    <col min="302" max="302" width="10" style="50" bestFit="1" customWidth="1"/>
    <col min="303" max="541" width="9.15625" style="50"/>
    <col min="542" max="542" width="53" style="50" customWidth="1"/>
    <col min="543" max="543" width="14.41796875" style="50" customWidth="1"/>
    <col min="544" max="556" width="11" style="50" customWidth="1"/>
    <col min="557" max="557" width="12.83984375" style="50" customWidth="1"/>
    <col min="558" max="558" width="10" style="50" bestFit="1" customWidth="1"/>
    <col min="559" max="797" width="9.15625" style="50"/>
    <col min="798" max="798" width="53" style="50" customWidth="1"/>
    <col min="799" max="799" width="14.41796875" style="50" customWidth="1"/>
    <col min="800" max="812" width="11" style="50" customWidth="1"/>
    <col min="813" max="813" width="12.83984375" style="50" customWidth="1"/>
    <col min="814" max="814" width="10" style="50" bestFit="1" customWidth="1"/>
    <col min="815" max="1053" width="9.15625" style="50"/>
    <col min="1054" max="1054" width="53" style="50" customWidth="1"/>
    <col min="1055" max="1055" width="14.41796875" style="50" customWidth="1"/>
    <col min="1056" max="1068" width="11" style="50" customWidth="1"/>
    <col min="1069" max="1069" width="12.83984375" style="50" customWidth="1"/>
    <col min="1070" max="1070" width="10" style="50" bestFit="1" customWidth="1"/>
    <col min="1071" max="1309" width="9.15625" style="50"/>
    <col min="1310" max="1310" width="53" style="50" customWidth="1"/>
    <col min="1311" max="1311" width="14.41796875" style="50" customWidth="1"/>
    <col min="1312" max="1324" width="11" style="50" customWidth="1"/>
    <col min="1325" max="1325" width="12.83984375" style="50" customWidth="1"/>
    <col min="1326" max="1326" width="10" style="50" bestFit="1" customWidth="1"/>
    <col min="1327" max="1565" width="9.15625" style="50"/>
    <col min="1566" max="1566" width="53" style="50" customWidth="1"/>
    <col min="1567" max="1567" width="14.41796875" style="50" customWidth="1"/>
    <col min="1568" max="1580" width="11" style="50" customWidth="1"/>
    <col min="1581" max="1581" width="12.83984375" style="50" customWidth="1"/>
    <col min="1582" max="1582" width="10" style="50" bestFit="1" customWidth="1"/>
    <col min="1583" max="1821" width="9.15625" style="50"/>
    <col min="1822" max="1822" width="53" style="50" customWidth="1"/>
    <col min="1823" max="1823" width="14.41796875" style="50" customWidth="1"/>
    <col min="1824" max="1836" width="11" style="50" customWidth="1"/>
    <col min="1837" max="1837" width="12.83984375" style="50" customWidth="1"/>
    <col min="1838" max="1838" width="10" style="50" bestFit="1" customWidth="1"/>
    <col min="1839" max="2077" width="9.15625" style="50"/>
    <col min="2078" max="2078" width="53" style="50" customWidth="1"/>
    <col min="2079" max="2079" width="14.41796875" style="50" customWidth="1"/>
    <col min="2080" max="2092" width="11" style="50" customWidth="1"/>
    <col min="2093" max="2093" width="12.83984375" style="50" customWidth="1"/>
    <col min="2094" max="2094" width="10" style="50" bestFit="1" customWidth="1"/>
    <col min="2095" max="2333" width="9.15625" style="50"/>
    <col min="2334" max="2334" width="53" style="50" customWidth="1"/>
    <col min="2335" max="2335" width="14.41796875" style="50" customWidth="1"/>
    <col min="2336" max="2348" width="11" style="50" customWidth="1"/>
    <col min="2349" max="2349" width="12.83984375" style="50" customWidth="1"/>
    <col min="2350" max="2350" width="10" style="50" bestFit="1" customWidth="1"/>
    <col min="2351" max="2589" width="9.15625" style="50"/>
    <col min="2590" max="2590" width="53" style="50" customWidth="1"/>
    <col min="2591" max="2591" width="14.41796875" style="50" customWidth="1"/>
    <col min="2592" max="2604" width="11" style="50" customWidth="1"/>
    <col min="2605" max="2605" width="12.83984375" style="50" customWidth="1"/>
    <col min="2606" max="2606" width="10" style="50" bestFit="1" customWidth="1"/>
    <col min="2607" max="2845" width="9.15625" style="50"/>
    <col min="2846" max="2846" width="53" style="50" customWidth="1"/>
    <col min="2847" max="2847" width="14.41796875" style="50" customWidth="1"/>
    <col min="2848" max="2860" width="11" style="50" customWidth="1"/>
    <col min="2861" max="2861" width="12.83984375" style="50" customWidth="1"/>
    <col min="2862" max="2862" width="10" style="50" bestFit="1" customWidth="1"/>
    <col min="2863" max="3101" width="9.15625" style="50"/>
    <col min="3102" max="3102" width="53" style="50" customWidth="1"/>
    <col min="3103" max="3103" width="14.41796875" style="50" customWidth="1"/>
    <col min="3104" max="3116" width="11" style="50" customWidth="1"/>
    <col min="3117" max="3117" width="12.83984375" style="50" customWidth="1"/>
    <col min="3118" max="3118" width="10" style="50" bestFit="1" customWidth="1"/>
    <col min="3119" max="3357" width="9.15625" style="50"/>
    <col min="3358" max="3358" width="53" style="50" customWidth="1"/>
    <col min="3359" max="3359" width="14.41796875" style="50" customWidth="1"/>
    <col min="3360" max="3372" width="11" style="50" customWidth="1"/>
    <col min="3373" max="3373" width="12.83984375" style="50" customWidth="1"/>
    <col min="3374" max="3374" width="10" style="50" bestFit="1" customWidth="1"/>
    <col min="3375" max="3613" width="9.15625" style="50"/>
    <col min="3614" max="3614" width="53" style="50" customWidth="1"/>
    <col min="3615" max="3615" width="14.41796875" style="50" customWidth="1"/>
    <col min="3616" max="3628" width="11" style="50" customWidth="1"/>
    <col min="3629" max="3629" width="12.83984375" style="50" customWidth="1"/>
    <col min="3630" max="3630" width="10" style="50" bestFit="1" customWidth="1"/>
    <col min="3631" max="3869" width="9.15625" style="50"/>
    <col min="3870" max="3870" width="53" style="50" customWidth="1"/>
    <col min="3871" max="3871" width="14.41796875" style="50" customWidth="1"/>
    <col min="3872" max="3884" width="11" style="50" customWidth="1"/>
    <col min="3885" max="3885" width="12.83984375" style="50" customWidth="1"/>
    <col min="3886" max="3886" width="10" style="50" bestFit="1" customWidth="1"/>
    <col min="3887" max="4125" width="9.15625" style="50"/>
    <col min="4126" max="4126" width="53" style="50" customWidth="1"/>
    <col min="4127" max="4127" width="14.41796875" style="50" customWidth="1"/>
    <col min="4128" max="4140" width="11" style="50" customWidth="1"/>
    <col min="4141" max="4141" width="12.83984375" style="50" customWidth="1"/>
    <col min="4142" max="4142" width="10" style="50" bestFit="1" customWidth="1"/>
    <col min="4143" max="4381" width="9.15625" style="50"/>
    <col min="4382" max="4382" width="53" style="50" customWidth="1"/>
    <col min="4383" max="4383" width="14.41796875" style="50" customWidth="1"/>
    <col min="4384" max="4396" width="11" style="50" customWidth="1"/>
    <col min="4397" max="4397" width="12.83984375" style="50" customWidth="1"/>
    <col min="4398" max="4398" width="10" style="50" bestFit="1" customWidth="1"/>
    <col min="4399" max="4637" width="9.15625" style="50"/>
    <col min="4638" max="4638" width="53" style="50" customWidth="1"/>
    <col min="4639" max="4639" width="14.41796875" style="50" customWidth="1"/>
    <col min="4640" max="4652" width="11" style="50" customWidth="1"/>
    <col min="4653" max="4653" width="12.83984375" style="50" customWidth="1"/>
    <col min="4654" max="4654" width="10" style="50" bestFit="1" customWidth="1"/>
    <col min="4655" max="4893" width="9.15625" style="50"/>
    <col min="4894" max="4894" width="53" style="50" customWidth="1"/>
    <col min="4895" max="4895" width="14.41796875" style="50" customWidth="1"/>
    <col min="4896" max="4908" width="11" style="50" customWidth="1"/>
    <col min="4909" max="4909" width="12.83984375" style="50" customWidth="1"/>
    <col min="4910" max="4910" width="10" style="50" bestFit="1" customWidth="1"/>
    <col min="4911" max="5149" width="9.15625" style="50"/>
    <col min="5150" max="5150" width="53" style="50" customWidth="1"/>
    <col min="5151" max="5151" width="14.41796875" style="50" customWidth="1"/>
    <col min="5152" max="5164" width="11" style="50" customWidth="1"/>
    <col min="5165" max="5165" width="12.83984375" style="50" customWidth="1"/>
    <col min="5166" max="5166" width="10" style="50" bestFit="1" customWidth="1"/>
    <col min="5167" max="5405" width="9.15625" style="50"/>
    <col min="5406" max="5406" width="53" style="50" customWidth="1"/>
    <col min="5407" max="5407" width="14.41796875" style="50" customWidth="1"/>
    <col min="5408" max="5420" width="11" style="50" customWidth="1"/>
    <col min="5421" max="5421" width="12.83984375" style="50" customWidth="1"/>
    <col min="5422" max="5422" width="10" style="50" bestFit="1" customWidth="1"/>
    <col min="5423" max="5661" width="9.15625" style="50"/>
    <col min="5662" max="5662" width="53" style="50" customWidth="1"/>
    <col min="5663" max="5663" width="14.41796875" style="50" customWidth="1"/>
    <col min="5664" max="5676" width="11" style="50" customWidth="1"/>
    <col min="5677" max="5677" width="12.83984375" style="50" customWidth="1"/>
    <col min="5678" max="5678" width="10" style="50" bestFit="1" customWidth="1"/>
    <col min="5679" max="5917" width="9.15625" style="50"/>
    <col min="5918" max="5918" width="53" style="50" customWidth="1"/>
    <col min="5919" max="5919" width="14.41796875" style="50" customWidth="1"/>
    <col min="5920" max="5932" width="11" style="50" customWidth="1"/>
    <col min="5933" max="5933" width="12.83984375" style="50" customWidth="1"/>
    <col min="5934" max="5934" width="10" style="50" bestFit="1" customWidth="1"/>
    <col min="5935" max="6173" width="9.15625" style="50"/>
    <col min="6174" max="6174" width="53" style="50" customWidth="1"/>
    <col min="6175" max="6175" width="14.41796875" style="50" customWidth="1"/>
    <col min="6176" max="6188" width="11" style="50" customWidth="1"/>
    <col min="6189" max="6189" width="12.83984375" style="50" customWidth="1"/>
    <col min="6190" max="6190" width="10" style="50" bestFit="1" customWidth="1"/>
    <col min="6191" max="6429" width="9.15625" style="50"/>
    <col min="6430" max="6430" width="53" style="50" customWidth="1"/>
    <col min="6431" max="6431" width="14.41796875" style="50" customWidth="1"/>
    <col min="6432" max="6444" width="11" style="50" customWidth="1"/>
    <col min="6445" max="6445" width="12.83984375" style="50" customWidth="1"/>
    <col min="6446" max="6446" width="10" style="50" bestFit="1" customWidth="1"/>
    <col min="6447" max="6685" width="9.15625" style="50"/>
    <col min="6686" max="6686" width="53" style="50" customWidth="1"/>
    <col min="6687" max="6687" width="14.41796875" style="50" customWidth="1"/>
    <col min="6688" max="6700" width="11" style="50" customWidth="1"/>
    <col min="6701" max="6701" width="12.83984375" style="50" customWidth="1"/>
    <col min="6702" max="6702" width="10" style="50" bestFit="1" customWidth="1"/>
    <col min="6703" max="6941" width="9.15625" style="50"/>
    <col min="6942" max="6942" width="53" style="50" customWidth="1"/>
    <col min="6943" max="6943" width="14.41796875" style="50" customWidth="1"/>
    <col min="6944" max="6956" width="11" style="50" customWidth="1"/>
    <col min="6957" max="6957" width="12.83984375" style="50" customWidth="1"/>
    <col min="6958" max="6958" width="10" style="50" bestFit="1" customWidth="1"/>
    <col min="6959" max="7197" width="9.15625" style="50"/>
    <col min="7198" max="7198" width="53" style="50" customWidth="1"/>
    <col min="7199" max="7199" width="14.41796875" style="50" customWidth="1"/>
    <col min="7200" max="7212" width="11" style="50" customWidth="1"/>
    <col min="7213" max="7213" width="12.83984375" style="50" customWidth="1"/>
    <col min="7214" max="7214" width="10" style="50" bestFit="1" customWidth="1"/>
    <col min="7215" max="7453" width="9.15625" style="50"/>
    <col min="7454" max="7454" width="53" style="50" customWidth="1"/>
    <col min="7455" max="7455" width="14.41796875" style="50" customWidth="1"/>
    <col min="7456" max="7468" width="11" style="50" customWidth="1"/>
    <col min="7469" max="7469" width="12.83984375" style="50" customWidth="1"/>
    <col min="7470" max="7470" width="10" style="50" bestFit="1" customWidth="1"/>
    <col min="7471" max="7709" width="9.15625" style="50"/>
    <col min="7710" max="7710" width="53" style="50" customWidth="1"/>
    <col min="7711" max="7711" width="14.41796875" style="50" customWidth="1"/>
    <col min="7712" max="7724" width="11" style="50" customWidth="1"/>
    <col min="7725" max="7725" width="12.83984375" style="50" customWidth="1"/>
    <col min="7726" max="7726" width="10" style="50" bestFit="1" customWidth="1"/>
    <col min="7727" max="7965" width="9.15625" style="50"/>
    <col min="7966" max="7966" width="53" style="50" customWidth="1"/>
    <col min="7967" max="7967" width="14.41796875" style="50" customWidth="1"/>
    <col min="7968" max="7980" width="11" style="50" customWidth="1"/>
    <col min="7981" max="7981" width="12.83984375" style="50" customWidth="1"/>
    <col min="7982" max="7982" width="10" style="50" bestFit="1" customWidth="1"/>
    <col min="7983" max="8221" width="9.15625" style="50"/>
    <col min="8222" max="8222" width="53" style="50" customWidth="1"/>
    <col min="8223" max="8223" width="14.41796875" style="50" customWidth="1"/>
    <col min="8224" max="8236" width="11" style="50" customWidth="1"/>
    <col min="8237" max="8237" width="12.83984375" style="50" customWidth="1"/>
    <col min="8238" max="8238" width="10" style="50" bestFit="1" customWidth="1"/>
    <col min="8239" max="8477" width="9.15625" style="50"/>
    <col min="8478" max="8478" width="53" style="50" customWidth="1"/>
    <col min="8479" max="8479" width="14.41796875" style="50" customWidth="1"/>
    <col min="8480" max="8492" width="11" style="50" customWidth="1"/>
    <col min="8493" max="8493" width="12.83984375" style="50" customWidth="1"/>
    <col min="8494" max="8494" width="10" style="50" bestFit="1" customWidth="1"/>
    <col min="8495" max="8733" width="9.15625" style="50"/>
    <col min="8734" max="8734" width="53" style="50" customWidth="1"/>
    <col min="8735" max="8735" width="14.41796875" style="50" customWidth="1"/>
    <col min="8736" max="8748" width="11" style="50" customWidth="1"/>
    <col min="8749" max="8749" width="12.83984375" style="50" customWidth="1"/>
    <col min="8750" max="8750" width="10" style="50" bestFit="1" customWidth="1"/>
    <col min="8751" max="8989" width="9.15625" style="50"/>
    <col min="8990" max="8990" width="53" style="50" customWidth="1"/>
    <col min="8991" max="8991" width="14.41796875" style="50" customWidth="1"/>
    <col min="8992" max="9004" width="11" style="50" customWidth="1"/>
    <col min="9005" max="9005" width="12.83984375" style="50" customWidth="1"/>
    <col min="9006" max="9006" width="10" style="50" bestFit="1" customWidth="1"/>
    <col min="9007" max="9245" width="9.15625" style="50"/>
    <col min="9246" max="9246" width="53" style="50" customWidth="1"/>
    <col min="9247" max="9247" width="14.41796875" style="50" customWidth="1"/>
    <col min="9248" max="9260" width="11" style="50" customWidth="1"/>
    <col min="9261" max="9261" width="12.83984375" style="50" customWidth="1"/>
    <col min="9262" max="9262" width="10" style="50" bestFit="1" customWidth="1"/>
    <col min="9263" max="9501" width="9.15625" style="50"/>
    <col min="9502" max="9502" width="53" style="50" customWidth="1"/>
    <col min="9503" max="9503" width="14.41796875" style="50" customWidth="1"/>
    <col min="9504" max="9516" width="11" style="50" customWidth="1"/>
    <col min="9517" max="9517" width="12.83984375" style="50" customWidth="1"/>
    <col min="9518" max="9518" width="10" style="50" bestFit="1" customWidth="1"/>
    <col min="9519" max="9757" width="9.15625" style="50"/>
    <col min="9758" max="9758" width="53" style="50" customWidth="1"/>
    <col min="9759" max="9759" width="14.41796875" style="50" customWidth="1"/>
    <col min="9760" max="9772" width="11" style="50" customWidth="1"/>
    <col min="9773" max="9773" width="12.83984375" style="50" customWidth="1"/>
    <col min="9774" max="9774" width="10" style="50" bestFit="1" customWidth="1"/>
    <col min="9775" max="10013" width="9.15625" style="50"/>
    <col min="10014" max="10014" width="53" style="50" customWidth="1"/>
    <col min="10015" max="10015" width="14.41796875" style="50" customWidth="1"/>
    <col min="10016" max="10028" width="11" style="50" customWidth="1"/>
    <col min="10029" max="10029" width="12.83984375" style="50" customWidth="1"/>
    <col min="10030" max="10030" width="10" style="50" bestFit="1" customWidth="1"/>
    <col min="10031" max="10269" width="9.15625" style="50"/>
    <col min="10270" max="10270" width="53" style="50" customWidth="1"/>
    <col min="10271" max="10271" width="14.41796875" style="50" customWidth="1"/>
    <col min="10272" max="10284" width="11" style="50" customWidth="1"/>
    <col min="10285" max="10285" width="12.83984375" style="50" customWidth="1"/>
    <col min="10286" max="10286" width="10" style="50" bestFit="1" customWidth="1"/>
    <col min="10287" max="10525" width="9.15625" style="50"/>
    <col min="10526" max="10526" width="53" style="50" customWidth="1"/>
    <col min="10527" max="10527" width="14.41796875" style="50" customWidth="1"/>
    <col min="10528" max="10540" width="11" style="50" customWidth="1"/>
    <col min="10541" max="10541" width="12.83984375" style="50" customWidth="1"/>
    <col min="10542" max="10542" width="10" style="50" bestFit="1" customWidth="1"/>
    <col min="10543" max="10781" width="9.15625" style="50"/>
    <col min="10782" max="10782" width="53" style="50" customWidth="1"/>
    <col min="10783" max="10783" width="14.41796875" style="50" customWidth="1"/>
    <col min="10784" max="10796" width="11" style="50" customWidth="1"/>
    <col min="10797" max="10797" width="12.83984375" style="50" customWidth="1"/>
    <col min="10798" max="10798" width="10" style="50" bestFit="1" customWidth="1"/>
    <col min="10799" max="11037" width="9.15625" style="50"/>
    <col min="11038" max="11038" width="53" style="50" customWidth="1"/>
    <col min="11039" max="11039" width="14.41796875" style="50" customWidth="1"/>
    <col min="11040" max="11052" width="11" style="50" customWidth="1"/>
    <col min="11053" max="11053" width="12.83984375" style="50" customWidth="1"/>
    <col min="11054" max="11054" width="10" style="50" bestFit="1" customWidth="1"/>
    <col min="11055" max="11293" width="9.15625" style="50"/>
    <col min="11294" max="11294" width="53" style="50" customWidth="1"/>
    <col min="11295" max="11295" width="14.41796875" style="50" customWidth="1"/>
    <col min="11296" max="11308" width="11" style="50" customWidth="1"/>
    <col min="11309" max="11309" width="12.83984375" style="50" customWidth="1"/>
    <col min="11310" max="11310" width="10" style="50" bestFit="1" customWidth="1"/>
    <col min="11311" max="11549" width="9.15625" style="50"/>
    <col min="11550" max="11550" width="53" style="50" customWidth="1"/>
    <col min="11551" max="11551" width="14.41796875" style="50" customWidth="1"/>
    <col min="11552" max="11564" width="11" style="50" customWidth="1"/>
    <col min="11565" max="11565" width="12.83984375" style="50" customWidth="1"/>
    <col min="11566" max="11566" width="10" style="50" bestFit="1" customWidth="1"/>
    <col min="11567" max="11805" width="9.15625" style="50"/>
    <col min="11806" max="11806" width="53" style="50" customWidth="1"/>
    <col min="11807" max="11807" width="14.41796875" style="50" customWidth="1"/>
    <col min="11808" max="11820" width="11" style="50" customWidth="1"/>
    <col min="11821" max="11821" width="12.83984375" style="50" customWidth="1"/>
    <col min="11822" max="11822" width="10" style="50" bestFit="1" customWidth="1"/>
    <col min="11823" max="12061" width="9.15625" style="50"/>
    <col min="12062" max="12062" width="53" style="50" customWidth="1"/>
    <col min="12063" max="12063" width="14.41796875" style="50" customWidth="1"/>
    <col min="12064" max="12076" width="11" style="50" customWidth="1"/>
    <col min="12077" max="12077" width="12.83984375" style="50" customWidth="1"/>
    <col min="12078" max="12078" width="10" style="50" bestFit="1" customWidth="1"/>
    <col min="12079" max="12317" width="9.15625" style="50"/>
    <col min="12318" max="12318" width="53" style="50" customWidth="1"/>
    <col min="12319" max="12319" width="14.41796875" style="50" customWidth="1"/>
    <col min="12320" max="12332" width="11" style="50" customWidth="1"/>
    <col min="12333" max="12333" width="12.83984375" style="50" customWidth="1"/>
    <col min="12334" max="12334" width="10" style="50" bestFit="1" customWidth="1"/>
    <col min="12335" max="12573" width="9.15625" style="50"/>
    <col min="12574" max="12574" width="53" style="50" customWidth="1"/>
    <col min="12575" max="12575" width="14.41796875" style="50" customWidth="1"/>
    <col min="12576" max="12588" width="11" style="50" customWidth="1"/>
    <col min="12589" max="12589" width="12.83984375" style="50" customWidth="1"/>
    <col min="12590" max="12590" width="10" style="50" bestFit="1" customWidth="1"/>
    <col min="12591" max="12829" width="9.15625" style="50"/>
    <col min="12830" max="12830" width="53" style="50" customWidth="1"/>
    <col min="12831" max="12831" width="14.41796875" style="50" customWidth="1"/>
    <col min="12832" max="12844" width="11" style="50" customWidth="1"/>
    <col min="12845" max="12845" width="12.83984375" style="50" customWidth="1"/>
    <col min="12846" max="12846" width="10" style="50" bestFit="1" customWidth="1"/>
    <col min="12847" max="13085" width="9.15625" style="50"/>
    <col min="13086" max="13086" width="53" style="50" customWidth="1"/>
    <col min="13087" max="13087" width="14.41796875" style="50" customWidth="1"/>
    <col min="13088" max="13100" width="11" style="50" customWidth="1"/>
    <col min="13101" max="13101" width="12.83984375" style="50" customWidth="1"/>
    <col min="13102" max="13102" width="10" style="50" bestFit="1" customWidth="1"/>
    <col min="13103" max="13341" width="9.15625" style="50"/>
    <col min="13342" max="13342" width="53" style="50" customWidth="1"/>
    <col min="13343" max="13343" width="14.41796875" style="50" customWidth="1"/>
    <col min="13344" max="13356" width="11" style="50" customWidth="1"/>
    <col min="13357" max="13357" width="12.83984375" style="50" customWidth="1"/>
    <col min="13358" max="13358" width="10" style="50" bestFit="1" customWidth="1"/>
    <col min="13359" max="13597" width="9.15625" style="50"/>
    <col min="13598" max="13598" width="53" style="50" customWidth="1"/>
    <col min="13599" max="13599" width="14.41796875" style="50" customWidth="1"/>
    <col min="13600" max="13612" width="11" style="50" customWidth="1"/>
    <col min="13613" max="13613" width="12.83984375" style="50" customWidth="1"/>
    <col min="13614" max="13614" width="10" style="50" bestFit="1" customWidth="1"/>
    <col min="13615" max="13853" width="9.15625" style="50"/>
    <col min="13854" max="13854" width="53" style="50" customWidth="1"/>
    <col min="13855" max="13855" width="14.41796875" style="50" customWidth="1"/>
    <col min="13856" max="13868" width="11" style="50" customWidth="1"/>
    <col min="13869" max="13869" width="12.83984375" style="50" customWidth="1"/>
    <col min="13870" max="13870" width="10" style="50" bestFit="1" customWidth="1"/>
    <col min="13871" max="14109" width="9.15625" style="50"/>
    <col min="14110" max="14110" width="53" style="50" customWidth="1"/>
    <col min="14111" max="14111" width="14.41796875" style="50" customWidth="1"/>
    <col min="14112" max="14124" width="11" style="50" customWidth="1"/>
    <col min="14125" max="14125" width="12.83984375" style="50" customWidth="1"/>
    <col min="14126" max="14126" width="10" style="50" bestFit="1" customWidth="1"/>
    <col min="14127" max="14365" width="9.15625" style="50"/>
    <col min="14366" max="14366" width="53" style="50" customWidth="1"/>
    <col min="14367" max="14367" width="14.41796875" style="50" customWidth="1"/>
    <col min="14368" max="14380" width="11" style="50" customWidth="1"/>
    <col min="14381" max="14381" width="12.83984375" style="50" customWidth="1"/>
    <col min="14382" max="14382" width="10" style="50" bestFit="1" customWidth="1"/>
    <col min="14383" max="14621" width="9.15625" style="50"/>
    <col min="14622" max="14622" width="53" style="50" customWidth="1"/>
    <col min="14623" max="14623" width="14.41796875" style="50" customWidth="1"/>
    <col min="14624" max="14636" width="11" style="50" customWidth="1"/>
    <col min="14637" max="14637" width="12.83984375" style="50" customWidth="1"/>
    <col min="14638" max="14638" width="10" style="50" bestFit="1" customWidth="1"/>
    <col min="14639" max="14877" width="9.15625" style="50"/>
    <col min="14878" max="14878" width="53" style="50" customWidth="1"/>
    <col min="14879" max="14879" width="14.41796875" style="50" customWidth="1"/>
    <col min="14880" max="14892" width="11" style="50" customWidth="1"/>
    <col min="14893" max="14893" width="12.83984375" style="50" customWidth="1"/>
    <col min="14894" max="14894" width="10" style="50" bestFit="1" customWidth="1"/>
    <col min="14895" max="15133" width="9.15625" style="50"/>
    <col min="15134" max="15134" width="53" style="50" customWidth="1"/>
    <col min="15135" max="15135" width="14.41796875" style="50" customWidth="1"/>
    <col min="15136" max="15148" width="11" style="50" customWidth="1"/>
    <col min="15149" max="15149" width="12.83984375" style="50" customWidth="1"/>
    <col min="15150" max="15150" width="10" style="50" bestFit="1" customWidth="1"/>
    <col min="15151" max="15389" width="9.15625" style="50"/>
    <col min="15390" max="15390" width="53" style="50" customWidth="1"/>
    <col min="15391" max="15391" width="14.41796875" style="50" customWidth="1"/>
    <col min="15392" max="15404" width="11" style="50" customWidth="1"/>
    <col min="15405" max="15405" width="12.83984375" style="50" customWidth="1"/>
    <col min="15406" max="15406" width="10" style="50" bestFit="1" customWidth="1"/>
    <col min="15407" max="15645" width="9.15625" style="50"/>
    <col min="15646" max="15646" width="53" style="50" customWidth="1"/>
    <col min="15647" max="15647" width="14.41796875" style="50" customWidth="1"/>
    <col min="15648" max="15660" width="11" style="50" customWidth="1"/>
    <col min="15661" max="15661" width="12.83984375" style="50" customWidth="1"/>
    <col min="15662" max="15662" width="10" style="50" bestFit="1" customWidth="1"/>
    <col min="15663" max="15901" width="9.15625" style="50"/>
    <col min="15902" max="15902" width="53" style="50" customWidth="1"/>
    <col min="15903" max="15903" width="14.41796875" style="50" customWidth="1"/>
    <col min="15904" max="15916" width="11" style="50" customWidth="1"/>
    <col min="15917" max="15917" width="12.83984375" style="50" customWidth="1"/>
    <col min="15918" max="15918" width="10" style="50" bestFit="1" customWidth="1"/>
    <col min="15919" max="16157" width="9.15625" style="50"/>
    <col min="16158" max="16158" width="53" style="50" customWidth="1"/>
    <col min="16159" max="16159" width="14.41796875" style="50" customWidth="1"/>
    <col min="16160" max="16172" width="11" style="50" customWidth="1"/>
    <col min="16173" max="16173" width="12.83984375" style="50" customWidth="1"/>
    <col min="16174" max="16174" width="10" style="50" bestFit="1" customWidth="1"/>
    <col min="16175" max="16384" width="9.15625" style="50"/>
  </cols>
  <sheetData>
    <row r="1" spans="1:54" ht="12.75" customHeight="1" x14ac:dyDescent="0.4">
      <c r="A1" s="51"/>
      <c r="B1" s="52"/>
      <c r="C1" s="53" t="str">
        <f>A76</f>
        <v>Срок окупаемости проекта с учетом инвестиций, мес.:</v>
      </c>
      <c r="D1" s="54">
        <f>B76</f>
        <v>3</v>
      </c>
      <c r="E1" s="52"/>
      <c r="F1" s="52"/>
      <c r="G1" s="52"/>
      <c r="H1" s="52"/>
      <c r="I1" s="55"/>
      <c r="J1" s="56"/>
      <c r="K1" s="56"/>
      <c r="L1" s="56"/>
      <c r="M1" s="56"/>
      <c r="N1" s="56"/>
      <c r="O1" s="57"/>
      <c r="P1" s="57"/>
      <c r="Q1" s="52"/>
      <c r="R1" s="58"/>
      <c r="S1" s="52"/>
      <c r="T1" s="52"/>
      <c r="U1" s="52"/>
      <c r="V1" s="52"/>
      <c r="W1" s="55"/>
      <c r="X1" s="56"/>
      <c r="Y1" s="56"/>
      <c r="Z1" s="56"/>
      <c r="AA1" s="56"/>
      <c r="AB1" s="56"/>
      <c r="AC1" s="57"/>
      <c r="AD1" s="57"/>
      <c r="AE1" s="52"/>
      <c r="AF1" s="58"/>
      <c r="AG1" s="52"/>
      <c r="AH1" s="52"/>
      <c r="AI1" s="52"/>
      <c r="AJ1" s="52"/>
      <c r="AK1" s="55"/>
      <c r="AL1" s="56"/>
      <c r="AM1" s="56"/>
      <c r="AN1" s="56"/>
      <c r="AO1" s="56"/>
      <c r="AP1" s="56"/>
      <c r="AQ1" s="57"/>
      <c r="AR1" s="57"/>
      <c r="AS1" s="56"/>
    </row>
    <row r="2" spans="1:54" hidden="1" x14ac:dyDescent="0.4">
      <c r="C2" s="59">
        <f>'Исходные данные'!$P$2</f>
        <v>1</v>
      </c>
      <c r="D2" s="59">
        <f>IF(C2=12,1,C2+1)</f>
        <v>2</v>
      </c>
      <c r="E2" s="59">
        <f t="shared" ref="E2:AB2" si="0">IF(D2=12,1,D2+1)</f>
        <v>3</v>
      </c>
      <c r="F2" s="59">
        <f t="shared" si="0"/>
        <v>4</v>
      </c>
      <c r="G2" s="59">
        <f t="shared" si="0"/>
        <v>5</v>
      </c>
      <c r="H2" s="59">
        <f t="shared" si="0"/>
        <v>6</v>
      </c>
      <c r="I2" s="59">
        <f t="shared" si="0"/>
        <v>7</v>
      </c>
      <c r="J2" s="59">
        <f t="shared" si="0"/>
        <v>8</v>
      </c>
      <c r="K2" s="59">
        <f t="shared" si="0"/>
        <v>9</v>
      </c>
      <c r="L2" s="59">
        <f t="shared" si="0"/>
        <v>10</v>
      </c>
      <c r="M2" s="59">
        <f t="shared" si="0"/>
        <v>11</v>
      </c>
      <c r="N2" s="59">
        <f t="shared" si="0"/>
        <v>12</v>
      </c>
      <c r="O2" s="60"/>
      <c r="P2" s="60"/>
      <c r="Q2" s="59">
        <f>IF(N2=12,1,N2+1)</f>
        <v>1</v>
      </c>
      <c r="R2" s="59">
        <f t="shared" si="0"/>
        <v>2</v>
      </c>
      <c r="S2" s="59">
        <f t="shared" si="0"/>
        <v>3</v>
      </c>
      <c r="T2" s="59">
        <f t="shared" si="0"/>
        <v>4</v>
      </c>
      <c r="U2" s="59">
        <f t="shared" si="0"/>
        <v>5</v>
      </c>
      <c r="V2" s="59">
        <f t="shared" si="0"/>
        <v>6</v>
      </c>
      <c r="W2" s="59">
        <f t="shared" si="0"/>
        <v>7</v>
      </c>
      <c r="X2" s="59">
        <f t="shared" si="0"/>
        <v>8</v>
      </c>
      <c r="Y2" s="59">
        <f t="shared" si="0"/>
        <v>9</v>
      </c>
      <c r="Z2" s="59">
        <f t="shared" si="0"/>
        <v>10</v>
      </c>
      <c r="AA2" s="59">
        <f t="shared" si="0"/>
        <v>11</v>
      </c>
      <c r="AB2" s="59">
        <f t="shared" si="0"/>
        <v>12</v>
      </c>
      <c r="AC2" s="60"/>
      <c r="AD2" s="60"/>
      <c r="AE2" s="59">
        <f>IF(AB2=12,1,AB2+1)</f>
        <v>1</v>
      </c>
      <c r="AF2" s="59">
        <f t="shared" ref="AF2:AP2" si="1">IF(AE2=12,1,AE2+1)</f>
        <v>2</v>
      </c>
      <c r="AG2" s="59">
        <f t="shared" si="1"/>
        <v>3</v>
      </c>
      <c r="AH2" s="59">
        <f t="shared" si="1"/>
        <v>4</v>
      </c>
      <c r="AI2" s="59">
        <f t="shared" si="1"/>
        <v>5</v>
      </c>
      <c r="AJ2" s="59">
        <f t="shared" si="1"/>
        <v>6</v>
      </c>
      <c r="AK2" s="59">
        <f t="shared" si="1"/>
        <v>7</v>
      </c>
      <c r="AL2" s="59">
        <f t="shared" si="1"/>
        <v>8</v>
      </c>
      <c r="AM2" s="59">
        <f t="shared" si="1"/>
        <v>9</v>
      </c>
      <c r="AN2" s="59">
        <f t="shared" si="1"/>
        <v>10</v>
      </c>
      <c r="AO2" s="59">
        <f t="shared" si="1"/>
        <v>11</v>
      </c>
      <c r="AP2" s="59">
        <f t="shared" si="1"/>
        <v>12</v>
      </c>
      <c r="AQ2" s="60"/>
      <c r="AR2" s="60"/>
    </row>
    <row r="3" spans="1:54" x14ac:dyDescent="0.4">
      <c r="B3" s="7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61"/>
      <c r="P3" s="61"/>
      <c r="Q3" s="9"/>
      <c r="R3" s="9"/>
      <c r="S3" s="9"/>
      <c r="T3" s="9"/>
      <c r="U3" s="9"/>
      <c r="V3" s="9"/>
      <c r="W3" s="9"/>
      <c r="X3" s="9"/>
      <c r="Y3" s="9"/>
      <c r="AC3" s="61"/>
      <c r="AD3" s="61"/>
      <c r="AE3" s="9"/>
      <c r="AF3" s="9"/>
      <c r="AG3" s="9"/>
      <c r="AH3" s="9"/>
      <c r="AI3" s="9"/>
      <c r="AJ3" s="9"/>
      <c r="AK3" s="9"/>
      <c r="AL3" s="9"/>
      <c r="AM3" s="9"/>
      <c r="AQ3" s="61"/>
      <c r="AR3" s="61"/>
      <c r="AU3" s="5"/>
    </row>
    <row r="4" spans="1:54" s="8" customFormat="1" ht="14.25" customHeight="1" thickBot="1" x14ac:dyDescent="0.4">
      <c r="B4" s="62"/>
      <c r="C4" s="290" t="s">
        <v>32</v>
      </c>
      <c r="D4" s="291"/>
      <c r="E4" s="291"/>
      <c r="F4" s="291"/>
      <c r="G4" s="291"/>
      <c r="H4" s="291"/>
      <c r="I4" s="291"/>
      <c r="J4" s="291"/>
      <c r="K4" s="291"/>
      <c r="L4" s="291"/>
      <c r="M4" s="291"/>
      <c r="N4" s="291"/>
      <c r="O4" s="291"/>
      <c r="P4" s="292"/>
      <c r="Q4" s="293" t="s">
        <v>33</v>
      </c>
      <c r="R4" s="294"/>
      <c r="S4" s="294"/>
      <c r="T4" s="294"/>
      <c r="U4" s="294"/>
      <c r="V4" s="294"/>
      <c r="W4" s="294"/>
      <c r="X4" s="294"/>
      <c r="Y4" s="294"/>
      <c r="Z4" s="294"/>
      <c r="AA4" s="294"/>
      <c r="AB4" s="294"/>
      <c r="AC4" s="294"/>
      <c r="AD4" s="295"/>
      <c r="AE4" s="296" t="s">
        <v>35</v>
      </c>
      <c r="AF4" s="296"/>
      <c r="AG4" s="296"/>
      <c r="AH4" s="296"/>
      <c r="AI4" s="296"/>
      <c r="AJ4" s="296"/>
      <c r="AK4" s="296"/>
      <c r="AL4" s="296"/>
      <c r="AM4" s="296"/>
      <c r="AN4" s="296"/>
      <c r="AO4" s="296"/>
      <c r="AP4" s="296"/>
      <c r="AQ4" s="296"/>
      <c r="AR4" s="296"/>
      <c r="AU4" s="5"/>
    </row>
    <row r="5" spans="1:54" s="8" customFormat="1" ht="11.1" thickTop="1" thickBot="1" x14ac:dyDescent="0.4">
      <c r="A5" s="63" t="s">
        <v>6</v>
      </c>
      <c r="B5" s="69"/>
      <c r="C5" s="64" t="str">
        <f>CHOOSE(C2,'Исходные данные'!$Q$2,'Исходные данные'!$Q$3,'Исходные данные'!$Q$4,'Исходные данные'!$Q$5,'Исходные данные'!$Q$6,'Исходные данные'!$Q$7,'Исходные данные'!$Q$8,'Исходные данные'!$Q$9,'Исходные данные'!$Q$10,'Исходные данные'!$Q$11,'Исходные данные'!$Q$12,'Исходные данные'!$Q$13)</f>
        <v>январь</v>
      </c>
      <c r="D5" s="64" t="str">
        <f>CHOOSE(D2,'Исходные данные'!$Q$2,'Исходные данные'!$Q$3,'Исходные данные'!$Q$4,'Исходные данные'!$Q$5,'Исходные данные'!$Q$6,'Исходные данные'!$Q$7,'Исходные данные'!$Q$8,'Исходные данные'!$Q$9,'Исходные данные'!$Q$10,'Исходные данные'!$Q$11,'Исходные данные'!$Q$12,'Исходные данные'!$Q$13)</f>
        <v>февраль</v>
      </c>
      <c r="E5" s="64" t="str">
        <f>CHOOSE(E2,'Исходные данные'!$Q$2,'Исходные данные'!$Q$3,'Исходные данные'!$Q$4,'Исходные данные'!$Q$5,'Исходные данные'!$Q$6,'Исходные данные'!$Q$7,'Исходные данные'!$Q$8,'Исходные данные'!$Q$9,'Исходные данные'!$Q$10,'Исходные данные'!$Q$11,'Исходные данные'!$Q$12,'Исходные данные'!$Q$13)</f>
        <v>март</v>
      </c>
      <c r="F5" s="64" t="str">
        <f>CHOOSE(F2,'Исходные данные'!$Q$2,'Исходные данные'!$Q$3,'Исходные данные'!$Q$4,'Исходные данные'!$Q$5,'Исходные данные'!$Q$6,'Исходные данные'!$Q$7,'Исходные данные'!$Q$8,'Исходные данные'!$Q$9,'Исходные данные'!$Q$10,'Исходные данные'!$Q$11,'Исходные данные'!$Q$12,'Исходные данные'!$Q$13)</f>
        <v>апрель</v>
      </c>
      <c r="G5" s="64" t="str">
        <f>CHOOSE(G2,'Исходные данные'!$Q$2,'Исходные данные'!$Q$3,'Исходные данные'!$Q$4,'Исходные данные'!$Q$5,'Исходные данные'!$Q$6,'Исходные данные'!$Q$7,'Исходные данные'!$Q$8,'Исходные данные'!$Q$9,'Исходные данные'!$Q$10,'Исходные данные'!$Q$11,'Исходные данные'!$Q$12,'Исходные данные'!$Q$13)</f>
        <v>май</v>
      </c>
      <c r="H5" s="64" t="str">
        <f>CHOOSE(H2,'Исходные данные'!$Q$2,'Исходные данные'!$Q$3,'Исходные данные'!$Q$4,'Исходные данные'!$Q$5,'Исходные данные'!$Q$6,'Исходные данные'!$Q$7,'Исходные данные'!$Q$8,'Исходные данные'!$Q$9,'Исходные данные'!$Q$10,'Исходные данные'!$Q$11,'Исходные данные'!$Q$12,'Исходные данные'!$Q$13)</f>
        <v>июнь</v>
      </c>
      <c r="I5" s="64" t="str">
        <f>CHOOSE(I2,'Исходные данные'!$Q$2,'Исходные данные'!$Q$3,'Исходные данные'!$Q$4,'Исходные данные'!$Q$5,'Исходные данные'!$Q$6,'Исходные данные'!$Q$7,'Исходные данные'!$Q$8,'Исходные данные'!$Q$9,'Исходные данные'!$Q$10,'Исходные данные'!$Q$11,'Исходные данные'!$Q$12,'Исходные данные'!$Q$13)</f>
        <v>июль</v>
      </c>
      <c r="J5" s="64" t="str">
        <f>CHOOSE(J2,'Исходные данные'!$Q$2,'Исходные данные'!$Q$3,'Исходные данные'!$Q$4,'Исходные данные'!$Q$5,'Исходные данные'!$Q$6,'Исходные данные'!$Q$7,'Исходные данные'!$Q$8,'Исходные данные'!$Q$9,'Исходные данные'!$Q$10,'Исходные данные'!$Q$11,'Исходные данные'!$Q$12,'Исходные данные'!$Q$13)</f>
        <v>август</v>
      </c>
      <c r="K5" s="64" t="str">
        <f>CHOOSE(K2,'Исходные данные'!$Q$2,'Исходные данные'!$Q$3,'Исходные данные'!$Q$4,'Исходные данные'!$Q$5,'Исходные данные'!$Q$6,'Исходные данные'!$Q$7,'Исходные данные'!$Q$8,'Исходные данные'!$Q$9,'Исходные данные'!$Q$10,'Исходные данные'!$Q$11,'Исходные данные'!$Q$12,'Исходные данные'!$Q$13)</f>
        <v>сентябрь</v>
      </c>
      <c r="L5" s="64" t="str">
        <f>CHOOSE(L2,'Исходные данные'!$Q$2,'Исходные данные'!$Q$3,'Исходные данные'!$Q$4,'Исходные данные'!$Q$5,'Исходные данные'!$Q$6,'Исходные данные'!$Q$7,'Исходные данные'!$Q$8,'Исходные данные'!$Q$9,'Исходные данные'!$Q$10,'Исходные данные'!$Q$11,'Исходные данные'!$Q$12,'Исходные данные'!$Q$13)</f>
        <v>октябрь</v>
      </c>
      <c r="M5" s="64" t="str">
        <f>CHOOSE(M2,'Исходные данные'!$Q$2,'Исходные данные'!$Q$3,'Исходные данные'!$Q$4,'Исходные данные'!$Q$5,'Исходные данные'!$Q$6,'Исходные данные'!$Q$7,'Исходные данные'!$Q$8,'Исходные данные'!$Q$9,'Исходные данные'!$Q$10,'Исходные данные'!$Q$11,'Исходные данные'!$Q$12,'Исходные данные'!$Q$13)</f>
        <v>ноябрь</v>
      </c>
      <c r="N5" s="64" t="str">
        <f>CHOOSE(N2,'Исходные данные'!$Q$2,'Исходные данные'!$Q$3,'Исходные данные'!$Q$4,'Исходные данные'!$Q$5,'Исходные данные'!$Q$6,'Исходные данные'!$Q$7,'Исходные данные'!$Q$8,'Исходные данные'!$Q$9,'Исходные данные'!$Q$10,'Исходные данные'!$Q$11,'Исходные данные'!$Q$12,'Исходные данные'!$Q$13)</f>
        <v>декабрь</v>
      </c>
      <c r="O5" s="65"/>
      <c r="P5" s="65"/>
      <c r="Q5" s="64" t="str">
        <f>CHOOSE(Q2,'Исходные данные'!$Q$2,'Исходные данные'!$Q$3,'Исходные данные'!$Q$4,'Исходные данные'!$Q$5,'Исходные данные'!$Q$6,'Исходные данные'!$Q$7,'Исходные данные'!$Q$8,'Исходные данные'!$Q$9,'Исходные данные'!$Q$10,'Исходные данные'!$Q$11,'Исходные данные'!$Q$12,'Исходные данные'!$Q$13)</f>
        <v>январь</v>
      </c>
      <c r="R5" s="64" t="str">
        <f>CHOOSE(R2,'Исходные данные'!$Q$2,'Исходные данные'!$Q$3,'Исходные данные'!$Q$4,'Исходные данные'!$Q$5,'Исходные данные'!$Q$6,'Исходные данные'!$Q$7,'Исходные данные'!$Q$8,'Исходные данные'!$Q$9,'Исходные данные'!$Q$10,'Исходные данные'!$Q$11,'Исходные данные'!$Q$12,'Исходные данные'!$Q$13)</f>
        <v>февраль</v>
      </c>
      <c r="S5" s="64" t="str">
        <f>CHOOSE(S2,'Исходные данные'!$Q$2,'Исходные данные'!$Q$3,'Исходные данные'!$Q$4,'Исходные данные'!$Q$5,'Исходные данные'!$Q$6,'Исходные данные'!$Q$7,'Исходные данные'!$Q$8,'Исходные данные'!$Q$9,'Исходные данные'!$Q$10,'Исходные данные'!$Q$11,'Исходные данные'!$Q$12,'Исходные данные'!$Q$13)</f>
        <v>март</v>
      </c>
      <c r="T5" s="64" t="str">
        <f>CHOOSE(T2,'Исходные данные'!$Q$2,'Исходные данные'!$Q$3,'Исходные данные'!$Q$4,'Исходные данные'!$Q$5,'Исходные данные'!$Q$6,'Исходные данные'!$Q$7,'Исходные данные'!$Q$8,'Исходные данные'!$Q$9,'Исходные данные'!$Q$10,'Исходные данные'!$Q$11,'Исходные данные'!$Q$12,'Исходные данные'!$Q$13)</f>
        <v>апрель</v>
      </c>
      <c r="U5" s="64" t="str">
        <f>CHOOSE(U2,'Исходные данные'!$Q$2,'Исходные данные'!$Q$3,'Исходные данные'!$Q$4,'Исходные данные'!$Q$5,'Исходные данные'!$Q$6,'Исходные данные'!$Q$7,'Исходные данные'!$Q$8,'Исходные данные'!$Q$9,'Исходные данные'!$Q$10,'Исходные данные'!$Q$11,'Исходные данные'!$Q$12,'Исходные данные'!$Q$13)</f>
        <v>май</v>
      </c>
      <c r="V5" s="64" t="str">
        <f>CHOOSE(V2,'Исходные данные'!$Q$2,'Исходные данные'!$Q$3,'Исходные данные'!$Q$4,'Исходные данные'!$Q$5,'Исходные данные'!$Q$6,'Исходные данные'!$Q$7,'Исходные данные'!$Q$8,'Исходные данные'!$Q$9,'Исходные данные'!$Q$10,'Исходные данные'!$Q$11,'Исходные данные'!$Q$12,'Исходные данные'!$Q$13)</f>
        <v>июнь</v>
      </c>
      <c r="W5" s="64" t="str">
        <f>CHOOSE(W2,'Исходные данные'!$Q$2,'Исходные данные'!$Q$3,'Исходные данные'!$Q$4,'Исходные данные'!$Q$5,'Исходные данные'!$Q$6,'Исходные данные'!$Q$7,'Исходные данные'!$Q$8,'Исходные данные'!$Q$9,'Исходные данные'!$Q$10,'Исходные данные'!$Q$11,'Исходные данные'!$Q$12,'Исходные данные'!$Q$13)</f>
        <v>июль</v>
      </c>
      <c r="X5" s="64" t="str">
        <f>CHOOSE(X2,'Исходные данные'!$Q$2,'Исходные данные'!$Q$3,'Исходные данные'!$Q$4,'Исходные данные'!$Q$5,'Исходные данные'!$Q$6,'Исходные данные'!$Q$7,'Исходные данные'!$Q$8,'Исходные данные'!$Q$9,'Исходные данные'!$Q$10,'Исходные данные'!$Q$11,'Исходные данные'!$Q$12,'Исходные данные'!$Q$13)</f>
        <v>август</v>
      </c>
      <c r="Y5" s="64" t="str">
        <f>CHOOSE(Y2,'Исходные данные'!$Q$2,'Исходные данные'!$Q$3,'Исходные данные'!$Q$4,'Исходные данные'!$Q$5,'Исходные данные'!$Q$6,'Исходные данные'!$Q$7,'Исходные данные'!$Q$8,'Исходные данные'!$Q$9,'Исходные данные'!$Q$10,'Исходные данные'!$Q$11,'Исходные данные'!$Q$12,'Исходные данные'!$Q$13)</f>
        <v>сентябрь</v>
      </c>
      <c r="Z5" s="64" t="str">
        <f>CHOOSE(Z2,'Исходные данные'!$Q$2,'Исходные данные'!$Q$3,'Исходные данные'!$Q$4,'Исходные данные'!$Q$5,'Исходные данные'!$Q$6,'Исходные данные'!$Q$7,'Исходные данные'!$Q$8,'Исходные данные'!$Q$9,'Исходные данные'!$Q$10,'Исходные данные'!$Q$11,'Исходные данные'!$Q$12,'Исходные данные'!$Q$13)</f>
        <v>октябрь</v>
      </c>
      <c r="AA5" s="64" t="str">
        <f>CHOOSE(AA2,'Исходные данные'!$Q$2,'Исходные данные'!$Q$3,'Исходные данные'!$Q$4,'Исходные данные'!$Q$5,'Исходные данные'!$Q$6,'Исходные данные'!$Q$7,'Исходные данные'!$Q$8,'Исходные данные'!$Q$9,'Исходные данные'!$Q$10,'Исходные данные'!$Q$11,'Исходные данные'!$Q$12,'Исходные данные'!$Q$13)</f>
        <v>ноябрь</v>
      </c>
      <c r="AB5" s="64" t="str">
        <f>CHOOSE(AB2,'Исходные данные'!$Q$2,'Исходные данные'!$Q$3,'Исходные данные'!$Q$4,'Исходные данные'!$Q$5,'Исходные данные'!$Q$6,'Исходные данные'!$Q$7,'Исходные данные'!$Q$8,'Исходные данные'!$Q$9,'Исходные данные'!$Q$10,'Исходные данные'!$Q$11,'Исходные данные'!$Q$12,'Исходные данные'!$Q$13)</f>
        <v>декабрь</v>
      </c>
      <c r="AC5" s="65"/>
      <c r="AD5" s="65"/>
      <c r="AE5" s="64" t="str">
        <f>CHOOSE(AE2,'Исходные данные'!$Q$2,'Исходные данные'!$Q$3,'Исходные данные'!$Q$4,'Исходные данные'!$Q$5,'Исходные данные'!$Q$6,'Исходные данные'!$Q$7,'Исходные данные'!$Q$8,'Исходные данные'!$Q$9,'Исходные данные'!$Q$10,'Исходные данные'!$Q$11,'Исходные данные'!$Q$12,'Исходные данные'!$Q$13)</f>
        <v>январь</v>
      </c>
      <c r="AF5" s="64" t="str">
        <f>CHOOSE(AF2,'Исходные данные'!$Q$2,'Исходные данные'!$Q$3,'Исходные данные'!$Q$4,'Исходные данные'!$Q$5,'Исходные данные'!$Q$6,'Исходные данные'!$Q$7,'Исходные данные'!$Q$8,'Исходные данные'!$Q$9,'Исходные данные'!$Q$10,'Исходные данные'!$Q$11,'Исходные данные'!$Q$12,'Исходные данные'!$Q$13)</f>
        <v>февраль</v>
      </c>
      <c r="AG5" s="64" t="str">
        <f>CHOOSE(AG2,'Исходные данные'!$Q$2,'Исходные данные'!$Q$3,'Исходные данные'!$Q$4,'Исходные данные'!$Q$5,'Исходные данные'!$Q$6,'Исходные данные'!$Q$7,'Исходные данные'!$Q$8,'Исходные данные'!$Q$9,'Исходные данные'!$Q$10,'Исходные данные'!$Q$11,'Исходные данные'!$Q$12,'Исходные данные'!$Q$13)</f>
        <v>март</v>
      </c>
      <c r="AH5" s="64" t="str">
        <f>CHOOSE(AH2,'Исходные данные'!$Q$2,'Исходные данные'!$Q$3,'Исходные данные'!$Q$4,'Исходные данные'!$Q$5,'Исходные данные'!$Q$6,'Исходные данные'!$Q$7,'Исходные данные'!$Q$8,'Исходные данные'!$Q$9,'Исходные данные'!$Q$10,'Исходные данные'!$Q$11,'Исходные данные'!$Q$12,'Исходные данные'!$Q$13)</f>
        <v>апрель</v>
      </c>
      <c r="AI5" s="64" t="str">
        <f>CHOOSE(AI2,'Исходные данные'!$Q$2,'Исходные данные'!$Q$3,'Исходные данные'!$Q$4,'Исходные данные'!$Q$5,'Исходные данные'!$Q$6,'Исходные данные'!$Q$7,'Исходные данные'!$Q$8,'Исходные данные'!$Q$9,'Исходные данные'!$Q$10,'Исходные данные'!$Q$11,'Исходные данные'!$Q$12,'Исходные данные'!$Q$13)</f>
        <v>май</v>
      </c>
      <c r="AJ5" s="64" t="str">
        <f>CHOOSE(AJ2,'Исходные данные'!$Q$2,'Исходные данные'!$Q$3,'Исходные данные'!$Q$4,'Исходные данные'!$Q$5,'Исходные данные'!$Q$6,'Исходные данные'!$Q$7,'Исходные данные'!$Q$8,'Исходные данные'!$Q$9,'Исходные данные'!$Q$10,'Исходные данные'!$Q$11,'Исходные данные'!$Q$12,'Исходные данные'!$Q$13)</f>
        <v>июнь</v>
      </c>
      <c r="AK5" s="64" t="str">
        <f>CHOOSE(AK2,'Исходные данные'!$Q$2,'Исходные данные'!$Q$3,'Исходные данные'!$Q$4,'Исходные данные'!$Q$5,'Исходные данные'!$Q$6,'Исходные данные'!$Q$7,'Исходные данные'!$Q$8,'Исходные данные'!$Q$9,'Исходные данные'!$Q$10,'Исходные данные'!$Q$11,'Исходные данные'!$Q$12,'Исходные данные'!$Q$13)</f>
        <v>июль</v>
      </c>
      <c r="AL5" s="64" t="str">
        <f>CHOOSE(AL2,'Исходные данные'!$Q$2,'Исходные данные'!$Q$3,'Исходные данные'!$Q$4,'Исходные данные'!$Q$5,'Исходные данные'!$Q$6,'Исходные данные'!$Q$7,'Исходные данные'!$Q$8,'Исходные данные'!$Q$9,'Исходные данные'!$Q$10,'Исходные данные'!$Q$11,'Исходные данные'!$Q$12,'Исходные данные'!$Q$13)</f>
        <v>август</v>
      </c>
      <c r="AM5" s="64" t="str">
        <f>CHOOSE(AM2,'Исходные данные'!$Q$2,'Исходные данные'!$Q$3,'Исходные данные'!$Q$4,'Исходные данные'!$Q$5,'Исходные данные'!$Q$6,'Исходные данные'!$Q$7,'Исходные данные'!$Q$8,'Исходные данные'!$Q$9,'Исходные данные'!$Q$10,'Исходные данные'!$Q$11,'Исходные данные'!$Q$12,'Исходные данные'!$Q$13)</f>
        <v>сентябрь</v>
      </c>
      <c r="AN5" s="64" t="str">
        <f>CHOOSE(AN2,'Исходные данные'!$Q$2,'Исходные данные'!$Q$3,'Исходные данные'!$Q$4,'Исходные данные'!$Q$5,'Исходные данные'!$Q$6,'Исходные данные'!$Q$7,'Исходные данные'!$Q$8,'Исходные данные'!$Q$9,'Исходные данные'!$Q$10,'Исходные данные'!$Q$11,'Исходные данные'!$Q$12,'Исходные данные'!$Q$13)</f>
        <v>октябрь</v>
      </c>
      <c r="AO5" s="64" t="str">
        <f>CHOOSE(AO2,'Исходные данные'!$Q$2,'Исходные данные'!$Q$3,'Исходные данные'!$Q$4,'Исходные данные'!$Q$5,'Исходные данные'!$Q$6,'Исходные данные'!$Q$7,'Исходные данные'!$Q$8,'Исходные данные'!$Q$9,'Исходные данные'!$Q$10,'Исходные данные'!$Q$11,'Исходные данные'!$Q$12,'Исходные данные'!$Q$13)</f>
        <v>ноябрь</v>
      </c>
      <c r="AP5" s="64" t="str">
        <f>CHOOSE(AP2,'Исходные данные'!$Q$2,'Исходные данные'!$Q$3,'Исходные данные'!$Q$4,'Исходные данные'!$Q$5,'Исходные данные'!$Q$6,'Исходные данные'!$Q$7,'Исходные данные'!$Q$8,'Исходные данные'!$Q$9,'Исходные данные'!$Q$10,'Исходные данные'!$Q$11,'Исходные данные'!$Q$12,'Исходные данные'!$Q$13)</f>
        <v>декабрь</v>
      </c>
      <c r="AQ5" s="65"/>
      <c r="AR5" s="65"/>
      <c r="AS5" s="66"/>
      <c r="AU5" s="5"/>
    </row>
    <row r="6" spans="1:54" s="7" customFormat="1" ht="10.8" outlineLevel="1" thickTop="1" x14ac:dyDescent="0.35">
      <c r="A6" s="3" t="s">
        <v>70</v>
      </c>
      <c r="B6" s="4"/>
      <c r="C6" s="5">
        <f>'Исходные данные'!$C26</f>
        <v>0.7</v>
      </c>
      <c r="D6" s="5">
        <f>'Исходные данные'!$C27</f>
        <v>0.8</v>
      </c>
      <c r="E6" s="5">
        <f>'Исходные данные'!$C28</f>
        <v>0.9</v>
      </c>
      <c r="F6" s="5">
        <f>'Исходные данные'!$C29</f>
        <v>1</v>
      </c>
      <c r="G6" s="5">
        <f>'Исходные данные'!$C30</f>
        <v>1</v>
      </c>
      <c r="H6" s="5">
        <f>'Исходные данные'!$C31</f>
        <v>1</v>
      </c>
      <c r="I6" s="5">
        <f>'Исходные данные'!$C32</f>
        <v>1</v>
      </c>
      <c r="J6" s="5">
        <f>'Исходные данные'!$C33</f>
        <v>1</v>
      </c>
      <c r="K6" s="5">
        <f>'Исходные данные'!$C34</f>
        <v>1</v>
      </c>
      <c r="L6" s="5">
        <f>'Исходные данные'!$C35</f>
        <v>1</v>
      </c>
      <c r="M6" s="5">
        <f>'Исходные данные'!$C36</f>
        <v>1</v>
      </c>
      <c r="N6" s="5">
        <f>'Исходные данные'!$C37</f>
        <v>1</v>
      </c>
      <c r="O6" s="6"/>
      <c r="P6" s="6"/>
      <c r="Q6" s="5">
        <f>'Исходные данные'!$C$40</f>
        <v>1.2</v>
      </c>
      <c r="R6" s="5">
        <f>'Исходные данные'!$C$40</f>
        <v>1.2</v>
      </c>
      <c r="S6" s="5">
        <f>'Исходные данные'!$C$40</f>
        <v>1.2</v>
      </c>
      <c r="T6" s="5">
        <f>'Исходные данные'!$C$40</f>
        <v>1.2</v>
      </c>
      <c r="U6" s="5">
        <f>'Исходные данные'!$C$40</f>
        <v>1.2</v>
      </c>
      <c r="V6" s="5">
        <f>'Исходные данные'!$C$40</f>
        <v>1.2</v>
      </c>
      <c r="W6" s="5">
        <f>'Исходные данные'!$C$40</f>
        <v>1.2</v>
      </c>
      <c r="X6" s="5">
        <f>'Исходные данные'!$C$40</f>
        <v>1.2</v>
      </c>
      <c r="Y6" s="5">
        <f>'Исходные данные'!$C$40</f>
        <v>1.2</v>
      </c>
      <c r="Z6" s="5">
        <f>'Исходные данные'!$C$40</f>
        <v>1.2</v>
      </c>
      <c r="AA6" s="5">
        <f>'Исходные данные'!$C$40</f>
        <v>1.2</v>
      </c>
      <c r="AB6" s="5">
        <f>'Исходные данные'!$C$40</f>
        <v>1.2</v>
      </c>
      <c r="AC6" s="6"/>
      <c r="AD6" s="6"/>
      <c r="AE6" s="5">
        <f>'Исходные данные'!$C$41</f>
        <v>1.4</v>
      </c>
      <c r="AF6" s="5">
        <f>'Исходные данные'!$C$41</f>
        <v>1.4</v>
      </c>
      <c r="AG6" s="5">
        <f>'Исходные данные'!$C$41</f>
        <v>1.4</v>
      </c>
      <c r="AH6" s="5">
        <f>'Исходные данные'!$C$41</f>
        <v>1.4</v>
      </c>
      <c r="AI6" s="5">
        <f>'Исходные данные'!$C$41</f>
        <v>1.4</v>
      </c>
      <c r="AJ6" s="5">
        <f>'Исходные данные'!$C$41</f>
        <v>1.4</v>
      </c>
      <c r="AK6" s="5">
        <f>'Исходные данные'!$C$41</f>
        <v>1.4</v>
      </c>
      <c r="AL6" s="5">
        <f>'Исходные данные'!$C$41</f>
        <v>1.4</v>
      </c>
      <c r="AM6" s="5">
        <f>'Исходные данные'!$C$41</f>
        <v>1.4</v>
      </c>
      <c r="AN6" s="5">
        <f>'Исходные данные'!$C$41</f>
        <v>1.4</v>
      </c>
      <c r="AO6" s="5">
        <f>'Исходные данные'!$C$41</f>
        <v>1.4</v>
      </c>
      <c r="AP6" s="5">
        <f>'Исходные данные'!$C$41</f>
        <v>1.4</v>
      </c>
      <c r="AQ6" s="6"/>
      <c r="AR6" s="6"/>
      <c r="AS6" s="5"/>
      <c r="AU6" s="5"/>
    </row>
    <row r="7" spans="1:54" s="9" customFormat="1" outlineLevel="1" x14ac:dyDescent="0.4">
      <c r="A7" s="7" t="s">
        <v>71</v>
      </c>
      <c r="B7" s="7"/>
      <c r="C7" s="5">
        <v>1</v>
      </c>
      <c r="D7" s="5">
        <v>1</v>
      </c>
      <c r="E7" s="5">
        <v>1</v>
      </c>
      <c r="F7" s="5">
        <v>1</v>
      </c>
      <c r="G7" s="5">
        <v>1</v>
      </c>
      <c r="H7" s="5">
        <v>1</v>
      </c>
      <c r="I7" s="5">
        <v>1</v>
      </c>
      <c r="J7" s="5">
        <v>1</v>
      </c>
      <c r="K7" s="5">
        <v>1</v>
      </c>
      <c r="L7" s="5">
        <v>1</v>
      </c>
      <c r="M7" s="5">
        <v>1</v>
      </c>
      <c r="N7" s="5">
        <v>1</v>
      </c>
      <c r="O7" s="6"/>
      <c r="P7" s="6"/>
      <c r="Q7" s="5">
        <f>'Исходные данные'!$E$40</f>
        <v>1</v>
      </c>
      <c r="R7" s="5">
        <f>'Исходные данные'!$E$40</f>
        <v>1</v>
      </c>
      <c r="S7" s="5">
        <f>'Исходные данные'!$E$40</f>
        <v>1</v>
      </c>
      <c r="T7" s="5">
        <f>'Исходные данные'!$E$40</f>
        <v>1</v>
      </c>
      <c r="U7" s="5">
        <f>'Исходные данные'!$E$40</f>
        <v>1</v>
      </c>
      <c r="V7" s="5">
        <f>'Исходные данные'!$E$40</f>
        <v>1</v>
      </c>
      <c r="W7" s="5">
        <f>'Исходные данные'!$E$40</f>
        <v>1</v>
      </c>
      <c r="X7" s="5">
        <f>'Исходные данные'!$E$40</f>
        <v>1</v>
      </c>
      <c r="Y7" s="5">
        <f>'Исходные данные'!$E$40</f>
        <v>1</v>
      </c>
      <c r="Z7" s="5">
        <f>'Исходные данные'!$E$40</f>
        <v>1</v>
      </c>
      <c r="AA7" s="5">
        <f>'Исходные данные'!$E$40</f>
        <v>1</v>
      </c>
      <c r="AB7" s="5">
        <f>'Исходные данные'!$E$40</f>
        <v>1</v>
      </c>
      <c r="AC7" s="6"/>
      <c r="AD7" s="6"/>
      <c r="AE7" s="5">
        <f>'Исходные данные'!$E$41</f>
        <v>1</v>
      </c>
      <c r="AF7" s="5">
        <f>'Исходные данные'!$E$41</f>
        <v>1</v>
      </c>
      <c r="AG7" s="5">
        <f>'Исходные данные'!$E$41</f>
        <v>1</v>
      </c>
      <c r="AH7" s="5">
        <f>'Исходные данные'!$E$41</f>
        <v>1</v>
      </c>
      <c r="AI7" s="5">
        <f>'Исходные данные'!$E$41</f>
        <v>1</v>
      </c>
      <c r="AJ7" s="5">
        <f>'Исходные данные'!$E$41</f>
        <v>1</v>
      </c>
      <c r="AK7" s="5">
        <f>'Исходные данные'!$E$41</f>
        <v>1</v>
      </c>
      <c r="AL7" s="5">
        <f>'Исходные данные'!$E$41</f>
        <v>1</v>
      </c>
      <c r="AM7" s="5">
        <f>'Исходные данные'!$E$41</f>
        <v>1</v>
      </c>
      <c r="AN7" s="5">
        <f>'Исходные данные'!$E$41</f>
        <v>1</v>
      </c>
      <c r="AO7" s="5">
        <f>'Исходные данные'!$E$41</f>
        <v>1</v>
      </c>
      <c r="AP7" s="5">
        <f>'Исходные данные'!$E$41</f>
        <v>1</v>
      </c>
      <c r="AQ7" s="6"/>
      <c r="AR7" s="6"/>
      <c r="AU7" s="5"/>
    </row>
    <row r="8" spans="1:54" s="7" customFormat="1" ht="10.5" outlineLevel="1" x14ac:dyDescent="0.35">
      <c r="A8" s="3" t="s">
        <v>95</v>
      </c>
      <c r="B8" s="4"/>
      <c r="C8" s="5">
        <v>1</v>
      </c>
      <c r="D8" s="5">
        <v>1</v>
      </c>
      <c r="E8" s="5">
        <v>1</v>
      </c>
      <c r="F8" s="5">
        <v>1</v>
      </c>
      <c r="G8" s="5">
        <v>1</v>
      </c>
      <c r="H8" s="5">
        <v>1</v>
      </c>
      <c r="I8" s="5">
        <v>1</v>
      </c>
      <c r="J8" s="5">
        <v>1</v>
      </c>
      <c r="K8" s="5">
        <v>1</v>
      </c>
      <c r="L8" s="5">
        <v>1</v>
      </c>
      <c r="M8" s="5">
        <v>1</v>
      </c>
      <c r="N8" s="5">
        <v>1</v>
      </c>
      <c r="O8" s="6"/>
      <c r="P8" s="6"/>
      <c r="Q8" s="5">
        <f>'Исходные данные'!$F$40</f>
        <v>1</v>
      </c>
      <c r="R8" s="5">
        <f>'Исходные данные'!$F$40</f>
        <v>1</v>
      </c>
      <c r="S8" s="5">
        <f>'Исходные данные'!$F$40</f>
        <v>1</v>
      </c>
      <c r="T8" s="5">
        <f>'Исходные данные'!$F$40</f>
        <v>1</v>
      </c>
      <c r="U8" s="5">
        <f>'Исходные данные'!$F$40</f>
        <v>1</v>
      </c>
      <c r="V8" s="5">
        <f>'Исходные данные'!$F$40</f>
        <v>1</v>
      </c>
      <c r="W8" s="5">
        <f>'Исходные данные'!$F$40</f>
        <v>1</v>
      </c>
      <c r="X8" s="5">
        <f>'Исходные данные'!$F$40</f>
        <v>1</v>
      </c>
      <c r="Y8" s="5">
        <f>'Исходные данные'!$F$40</f>
        <v>1</v>
      </c>
      <c r="Z8" s="5">
        <f>'Исходные данные'!$F$40</f>
        <v>1</v>
      </c>
      <c r="AA8" s="5">
        <f>'Исходные данные'!$F$40</f>
        <v>1</v>
      </c>
      <c r="AB8" s="5">
        <f>'Исходные данные'!$F$40</f>
        <v>1</v>
      </c>
      <c r="AC8" s="6"/>
      <c r="AD8" s="6"/>
      <c r="AE8" s="5">
        <f>'Исходные данные'!$F$41</f>
        <v>1</v>
      </c>
      <c r="AF8" s="5">
        <f>'Исходные данные'!$F$41</f>
        <v>1</v>
      </c>
      <c r="AG8" s="5">
        <f>'Исходные данные'!$F$41</f>
        <v>1</v>
      </c>
      <c r="AH8" s="5">
        <f>'Исходные данные'!$F$41</f>
        <v>1</v>
      </c>
      <c r="AI8" s="5">
        <f>'Исходные данные'!$F$41</f>
        <v>1</v>
      </c>
      <c r="AJ8" s="5">
        <f>'Исходные данные'!$F$41</f>
        <v>1</v>
      </c>
      <c r="AK8" s="5">
        <f>'Исходные данные'!$F$41</f>
        <v>1</v>
      </c>
      <c r="AL8" s="5">
        <f>'Исходные данные'!$F$41</f>
        <v>1</v>
      </c>
      <c r="AM8" s="5">
        <f>'Исходные данные'!$F$41</f>
        <v>1</v>
      </c>
      <c r="AN8" s="5">
        <f>'Исходные данные'!$F$41</f>
        <v>1</v>
      </c>
      <c r="AO8" s="5">
        <f>'Исходные данные'!$F$41</f>
        <v>1</v>
      </c>
      <c r="AP8" s="5">
        <f>'Исходные данные'!$F$41</f>
        <v>1</v>
      </c>
      <c r="AQ8" s="6"/>
      <c r="AR8" s="6"/>
      <c r="AS8" s="5"/>
      <c r="AV8" s="5"/>
      <c r="AX8" s="8"/>
      <c r="AY8" s="8"/>
      <c r="AZ8" s="8"/>
      <c r="BA8" s="8"/>
      <c r="BB8" s="8"/>
    </row>
    <row r="9" spans="1:54" s="9" customFormat="1" outlineLevel="1" x14ac:dyDescent="0.4">
      <c r="A9" s="7" t="s">
        <v>96</v>
      </c>
      <c r="B9" s="7"/>
      <c r="C9" s="5">
        <v>1</v>
      </c>
      <c r="D9" s="5">
        <v>1</v>
      </c>
      <c r="E9" s="5">
        <v>1</v>
      </c>
      <c r="F9" s="5">
        <v>1</v>
      </c>
      <c r="G9" s="5">
        <v>1</v>
      </c>
      <c r="H9" s="5">
        <v>1</v>
      </c>
      <c r="I9" s="5">
        <v>1</v>
      </c>
      <c r="J9" s="5">
        <v>1</v>
      </c>
      <c r="K9" s="5">
        <v>1</v>
      </c>
      <c r="L9" s="5">
        <v>1</v>
      </c>
      <c r="M9" s="5">
        <v>1</v>
      </c>
      <c r="N9" s="5">
        <v>1</v>
      </c>
      <c r="O9" s="6"/>
      <c r="P9" s="6"/>
      <c r="Q9" s="5">
        <f>'Исходные данные'!$G$40</f>
        <v>1</v>
      </c>
      <c r="R9" s="5">
        <f>'Исходные данные'!$G$40</f>
        <v>1</v>
      </c>
      <c r="S9" s="5">
        <f>'Исходные данные'!$G$40</f>
        <v>1</v>
      </c>
      <c r="T9" s="5">
        <f>'Исходные данные'!$G$40</f>
        <v>1</v>
      </c>
      <c r="U9" s="5">
        <f>'Исходные данные'!$G$40</f>
        <v>1</v>
      </c>
      <c r="V9" s="5">
        <f>'Исходные данные'!$G$40</f>
        <v>1</v>
      </c>
      <c r="W9" s="5">
        <f>'Исходные данные'!$G$40</f>
        <v>1</v>
      </c>
      <c r="X9" s="5">
        <f>'Исходные данные'!$G$40</f>
        <v>1</v>
      </c>
      <c r="Y9" s="5">
        <f>'Исходные данные'!$G$40</f>
        <v>1</v>
      </c>
      <c r="Z9" s="5">
        <f>'Исходные данные'!$G$40</f>
        <v>1</v>
      </c>
      <c r="AA9" s="5">
        <f>'Исходные данные'!$G$40</f>
        <v>1</v>
      </c>
      <c r="AB9" s="5">
        <f>'Исходные данные'!$G$40</f>
        <v>1</v>
      </c>
      <c r="AC9" s="6"/>
      <c r="AD9" s="6"/>
      <c r="AE9" s="5">
        <f>'Исходные данные'!$G$41</f>
        <v>1</v>
      </c>
      <c r="AF9" s="5">
        <f>'Исходные данные'!$G$41</f>
        <v>1</v>
      </c>
      <c r="AG9" s="5">
        <f>'Исходные данные'!$G$41</f>
        <v>1</v>
      </c>
      <c r="AH9" s="5">
        <f>'Исходные данные'!$G$41</f>
        <v>1</v>
      </c>
      <c r="AI9" s="5">
        <f>'Исходные данные'!$G$41</f>
        <v>1</v>
      </c>
      <c r="AJ9" s="5">
        <f>'Исходные данные'!$G$41</f>
        <v>1</v>
      </c>
      <c r="AK9" s="5">
        <f>'Исходные данные'!$G$41</f>
        <v>1</v>
      </c>
      <c r="AL9" s="5">
        <f>'Исходные данные'!$G$41</f>
        <v>1</v>
      </c>
      <c r="AM9" s="5">
        <f>'Исходные данные'!$G$41</f>
        <v>1</v>
      </c>
      <c r="AN9" s="5">
        <f>'Исходные данные'!$G$41</f>
        <v>1</v>
      </c>
      <c r="AO9" s="5">
        <f>'Исходные данные'!$G$41</f>
        <v>1</v>
      </c>
      <c r="AP9" s="5">
        <f>'Исходные данные'!$G$41</f>
        <v>1</v>
      </c>
      <c r="AQ9" s="6"/>
      <c r="AR9" s="6"/>
      <c r="AV9" s="5"/>
      <c r="AX9" s="8"/>
      <c r="AY9" s="8"/>
      <c r="AZ9" s="8"/>
      <c r="BA9" s="8"/>
      <c r="BB9" s="8"/>
    </row>
    <row r="10" spans="1:54" s="7" customFormat="1" ht="10.5" outlineLevel="1" x14ac:dyDescent="0.35">
      <c r="A10" s="3" t="s">
        <v>97</v>
      </c>
      <c r="B10" s="4"/>
      <c r="C10" s="5">
        <v>1</v>
      </c>
      <c r="D10" s="5">
        <v>1</v>
      </c>
      <c r="E10" s="5">
        <v>1</v>
      </c>
      <c r="F10" s="5">
        <v>1</v>
      </c>
      <c r="G10" s="5">
        <v>1</v>
      </c>
      <c r="H10" s="5">
        <v>1</v>
      </c>
      <c r="I10" s="5">
        <v>1</v>
      </c>
      <c r="J10" s="5">
        <v>1</v>
      </c>
      <c r="K10" s="5">
        <v>1</v>
      </c>
      <c r="L10" s="5">
        <v>1</v>
      </c>
      <c r="M10" s="5">
        <v>1</v>
      </c>
      <c r="N10" s="5">
        <v>1</v>
      </c>
      <c r="O10" s="6"/>
      <c r="P10" s="6"/>
      <c r="Q10" s="5">
        <f>'Исходные данные'!$H$40</f>
        <v>1</v>
      </c>
      <c r="R10" s="5">
        <f>'Исходные данные'!$H$40</f>
        <v>1</v>
      </c>
      <c r="S10" s="5">
        <f>'Исходные данные'!$H$40</f>
        <v>1</v>
      </c>
      <c r="T10" s="5">
        <f>'Исходные данные'!$H$40</f>
        <v>1</v>
      </c>
      <c r="U10" s="5">
        <f>'Исходные данные'!$H$40</f>
        <v>1</v>
      </c>
      <c r="V10" s="5">
        <f>'Исходные данные'!$H$40</f>
        <v>1</v>
      </c>
      <c r="W10" s="5">
        <f>'Исходные данные'!$H$40</f>
        <v>1</v>
      </c>
      <c r="X10" s="5">
        <f>'Исходные данные'!$H$40</f>
        <v>1</v>
      </c>
      <c r="Y10" s="5">
        <f>'Исходные данные'!$H$40</f>
        <v>1</v>
      </c>
      <c r="Z10" s="5">
        <f>'Исходные данные'!$H$40</f>
        <v>1</v>
      </c>
      <c r="AA10" s="5">
        <f>'Исходные данные'!$H$40</f>
        <v>1</v>
      </c>
      <c r="AB10" s="5">
        <f>'Исходные данные'!$H$40</f>
        <v>1</v>
      </c>
      <c r="AC10" s="6"/>
      <c r="AD10" s="6"/>
      <c r="AE10" s="5">
        <f>'Исходные данные'!$H$41</f>
        <v>1</v>
      </c>
      <c r="AF10" s="5">
        <f>'Исходные данные'!$H$41</f>
        <v>1</v>
      </c>
      <c r="AG10" s="5">
        <f>'Исходные данные'!$H$41</f>
        <v>1</v>
      </c>
      <c r="AH10" s="5">
        <f>'Исходные данные'!$H$41</f>
        <v>1</v>
      </c>
      <c r="AI10" s="5">
        <f>'Исходные данные'!$H$41</f>
        <v>1</v>
      </c>
      <c r="AJ10" s="5">
        <f>'Исходные данные'!$H$41</f>
        <v>1</v>
      </c>
      <c r="AK10" s="5">
        <f>'Исходные данные'!$H$41</f>
        <v>1</v>
      </c>
      <c r="AL10" s="5">
        <f>'Исходные данные'!$H$41</f>
        <v>1</v>
      </c>
      <c r="AM10" s="5">
        <f>'Исходные данные'!$H$41</f>
        <v>1</v>
      </c>
      <c r="AN10" s="5">
        <f>'Исходные данные'!$H$41</f>
        <v>1</v>
      </c>
      <c r="AO10" s="5">
        <f>'Исходные данные'!$H$41</f>
        <v>1</v>
      </c>
      <c r="AP10" s="5">
        <f>'Исходные данные'!$H$41</f>
        <v>1</v>
      </c>
      <c r="AQ10" s="6"/>
      <c r="AR10" s="6"/>
      <c r="AS10" s="5"/>
      <c r="AX10" s="8"/>
      <c r="AY10" s="8"/>
      <c r="AZ10" s="8"/>
      <c r="BA10" s="8"/>
      <c r="BB10" s="8"/>
    </row>
    <row r="11" spans="1:54" s="8" customFormat="1" ht="10.5" outlineLevel="1" x14ac:dyDescent="0.4">
      <c r="A11" s="8" t="s">
        <v>72</v>
      </c>
      <c r="O11" s="67"/>
      <c r="P11" s="67"/>
      <c r="AC11" s="67"/>
      <c r="AD11" s="67"/>
      <c r="AQ11" s="67"/>
      <c r="AR11" s="67"/>
      <c r="AU11" s="5"/>
    </row>
    <row r="12" spans="1:54" s="8" customFormat="1" ht="13.5" customHeight="1" thickBot="1" x14ac:dyDescent="0.4">
      <c r="A12" s="62"/>
      <c r="B12" s="62"/>
      <c r="C12" s="293" t="s">
        <v>32</v>
      </c>
      <c r="D12" s="294"/>
      <c r="E12" s="294"/>
      <c r="F12" s="294"/>
      <c r="G12" s="294"/>
      <c r="H12" s="294"/>
      <c r="I12" s="294"/>
      <c r="J12" s="294"/>
      <c r="K12" s="294"/>
      <c r="L12" s="294"/>
      <c r="M12" s="294"/>
      <c r="N12" s="294"/>
      <c r="O12" s="294"/>
      <c r="P12" s="295"/>
      <c r="Q12" s="293" t="s">
        <v>33</v>
      </c>
      <c r="R12" s="294"/>
      <c r="S12" s="294"/>
      <c r="T12" s="294"/>
      <c r="U12" s="294"/>
      <c r="V12" s="294"/>
      <c r="W12" s="294"/>
      <c r="X12" s="294"/>
      <c r="Y12" s="294"/>
      <c r="Z12" s="294"/>
      <c r="AA12" s="294"/>
      <c r="AB12" s="294"/>
      <c r="AC12" s="294"/>
      <c r="AD12" s="295"/>
      <c r="AE12" s="296" t="s">
        <v>35</v>
      </c>
      <c r="AF12" s="296"/>
      <c r="AG12" s="296"/>
      <c r="AH12" s="296"/>
      <c r="AI12" s="296"/>
      <c r="AJ12" s="296"/>
      <c r="AK12" s="296"/>
      <c r="AL12" s="296"/>
      <c r="AM12" s="296"/>
      <c r="AN12" s="296"/>
      <c r="AO12" s="296"/>
      <c r="AP12" s="296"/>
      <c r="AQ12" s="296"/>
      <c r="AR12" s="296"/>
      <c r="AS12" s="288" t="s">
        <v>42</v>
      </c>
      <c r="AU12" s="5"/>
    </row>
    <row r="13" spans="1:54" s="72" customFormat="1" ht="21.6" thickTop="1" thickBot="1" x14ac:dyDescent="0.4">
      <c r="A13" s="68" t="s">
        <v>7</v>
      </c>
      <c r="B13" s="69"/>
      <c r="C13" s="70" t="str">
        <f t="shared" ref="C13:N13" si="2">C$5</f>
        <v>январь</v>
      </c>
      <c r="D13" s="70" t="str">
        <f t="shared" si="2"/>
        <v>февраль</v>
      </c>
      <c r="E13" s="70" t="str">
        <f t="shared" si="2"/>
        <v>март</v>
      </c>
      <c r="F13" s="70" t="str">
        <f t="shared" si="2"/>
        <v>апрель</v>
      </c>
      <c r="G13" s="70" t="str">
        <f t="shared" si="2"/>
        <v>май</v>
      </c>
      <c r="H13" s="70" t="str">
        <f t="shared" si="2"/>
        <v>июнь</v>
      </c>
      <c r="I13" s="70" t="str">
        <f t="shared" si="2"/>
        <v>июль</v>
      </c>
      <c r="J13" s="70" t="str">
        <f t="shared" si="2"/>
        <v>август</v>
      </c>
      <c r="K13" s="70" t="str">
        <f t="shared" si="2"/>
        <v>сентябрь</v>
      </c>
      <c r="L13" s="70" t="str">
        <f t="shared" si="2"/>
        <v>октябрь</v>
      </c>
      <c r="M13" s="70" t="str">
        <f t="shared" si="2"/>
        <v>ноябрь</v>
      </c>
      <c r="N13" s="70" t="str">
        <f t="shared" si="2"/>
        <v>декабрь</v>
      </c>
      <c r="O13" s="71" t="s">
        <v>36</v>
      </c>
      <c r="P13" s="71" t="s">
        <v>37</v>
      </c>
      <c r="Q13" s="70" t="str">
        <f t="shared" ref="Q13:AB13" si="3">Q$5</f>
        <v>январь</v>
      </c>
      <c r="R13" s="70" t="str">
        <f t="shared" si="3"/>
        <v>февраль</v>
      </c>
      <c r="S13" s="70" t="str">
        <f t="shared" si="3"/>
        <v>март</v>
      </c>
      <c r="T13" s="70" t="str">
        <f t="shared" si="3"/>
        <v>апрель</v>
      </c>
      <c r="U13" s="70" t="str">
        <f t="shared" si="3"/>
        <v>май</v>
      </c>
      <c r="V13" s="70" t="str">
        <f t="shared" si="3"/>
        <v>июнь</v>
      </c>
      <c r="W13" s="70" t="str">
        <f t="shared" si="3"/>
        <v>июль</v>
      </c>
      <c r="X13" s="70" t="str">
        <f t="shared" si="3"/>
        <v>август</v>
      </c>
      <c r="Y13" s="70" t="str">
        <f t="shared" si="3"/>
        <v>сентябрь</v>
      </c>
      <c r="Z13" s="70" t="str">
        <f t="shared" si="3"/>
        <v>октябрь</v>
      </c>
      <c r="AA13" s="70" t="str">
        <f t="shared" si="3"/>
        <v>ноябрь</v>
      </c>
      <c r="AB13" s="70" t="str">
        <f t="shared" si="3"/>
        <v>декабрь</v>
      </c>
      <c r="AC13" s="71" t="s">
        <v>39</v>
      </c>
      <c r="AD13" s="71" t="s">
        <v>38</v>
      </c>
      <c r="AE13" s="70" t="str">
        <f t="shared" ref="AE13:AP13" si="4">AE$5</f>
        <v>январь</v>
      </c>
      <c r="AF13" s="70" t="str">
        <f t="shared" si="4"/>
        <v>февраль</v>
      </c>
      <c r="AG13" s="70" t="str">
        <f t="shared" si="4"/>
        <v>март</v>
      </c>
      <c r="AH13" s="70" t="str">
        <f t="shared" si="4"/>
        <v>апрель</v>
      </c>
      <c r="AI13" s="70" t="str">
        <f t="shared" si="4"/>
        <v>май</v>
      </c>
      <c r="AJ13" s="70" t="str">
        <f t="shared" si="4"/>
        <v>июнь</v>
      </c>
      <c r="AK13" s="70" t="str">
        <f t="shared" si="4"/>
        <v>июль</v>
      </c>
      <c r="AL13" s="70" t="str">
        <f t="shared" si="4"/>
        <v>август</v>
      </c>
      <c r="AM13" s="70" t="str">
        <f t="shared" si="4"/>
        <v>сентябрь</v>
      </c>
      <c r="AN13" s="70" t="str">
        <f t="shared" si="4"/>
        <v>октябрь</v>
      </c>
      <c r="AO13" s="70" t="str">
        <f t="shared" si="4"/>
        <v>ноябрь</v>
      </c>
      <c r="AP13" s="70" t="str">
        <f t="shared" si="4"/>
        <v>декабрь</v>
      </c>
      <c r="AQ13" s="71" t="s">
        <v>40</v>
      </c>
      <c r="AR13" s="71" t="s">
        <v>41</v>
      </c>
      <c r="AS13" s="289"/>
      <c r="AU13" s="5"/>
    </row>
    <row r="14" spans="1:54" s="78" customFormat="1" ht="10.8" thickTop="1" x14ac:dyDescent="0.35">
      <c r="A14" s="93" t="str">
        <f>'Исходные данные'!A10</f>
        <v>Продажа автомобилей из США и Канады</v>
      </c>
      <c r="B14" s="73" t="str">
        <f>CHOOSE('Исходные данные'!$N$2,'Исходные данные'!$O$2,'Исходные данные'!$O$3,'Исходные данные'!$O$4,'Исходные данные'!$O$5)</f>
        <v>USD</v>
      </c>
      <c r="C14" s="74">
        <f>C$6*'Исходные данные'!$E$10*'Исходные данные'!$G$10*CHOOSE(C$2,'Исходные данные'!$I$10,'Исходные данные'!$I$11,'Исходные данные'!$I$12,'Исходные данные'!$I$13,'Исходные данные'!$I$13,'Исходные данные'!$I$15,'Исходные данные'!$I$16,'Исходные данные'!$I$17,'Исходные данные'!$I$18,'Исходные данные'!$I$19,'Исходные данные'!$I$20,'Исходные данные'!$I$21)</f>
        <v>1400</v>
      </c>
      <c r="D14" s="74">
        <f>D$6*'Исходные данные'!$E$10*'Исходные данные'!$G$10*CHOOSE(D$2,'Исходные данные'!$I$10,'Исходные данные'!$I$11,'Исходные данные'!$I$12,'Исходные данные'!$I$13,'Исходные данные'!$I$13,'Исходные данные'!$I$15,'Исходные данные'!$I$16,'Исходные данные'!$I$17,'Исходные данные'!$I$18,'Исходные данные'!$I$19,'Исходные данные'!$I$20,'Исходные данные'!$I$21)</f>
        <v>2000</v>
      </c>
      <c r="E14" s="74">
        <f>E$6*'Исходные данные'!$E$10*'Исходные данные'!$G$10*CHOOSE(E$2,'Исходные данные'!$I$10,'Исходные данные'!$I$11,'Исходные данные'!$I$12,'Исходные данные'!$I$13,'Исходные данные'!$I$13,'Исходные данные'!$I$15,'Исходные данные'!$I$16,'Исходные данные'!$I$17,'Исходные данные'!$I$18,'Исходные данные'!$I$19,'Исходные данные'!$I$20,'Исходные данные'!$I$21)</f>
        <v>2250</v>
      </c>
      <c r="F14" s="74">
        <f>F$6*'Исходные данные'!$E$10*'Исходные данные'!$G$10*CHOOSE(F$2,'Исходные данные'!$I$10,'Исходные данные'!$I$11,'Исходные данные'!$I$12,'Исходные данные'!$I$13,'Исходные данные'!$I$13,'Исходные данные'!$I$15,'Исходные данные'!$I$16,'Исходные данные'!$I$17,'Исходные данные'!$I$18,'Исходные данные'!$I$19,'Исходные данные'!$I$20,'Исходные данные'!$I$21)</f>
        <v>3000</v>
      </c>
      <c r="G14" s="74">
        <f>G$6*'Исходные данные'!$E$10*'Исходные данные'!$G$10*CHOOSE(G$2,'Исходные данные'!$I$10,'Исходные данные'!$I$11,'Исходные данные'!$I$12,'Исходные данные'!$I$13,'Исходные данные'!$I$13,'Исходные данные'!$I$15,'Исходные данные'!$I$16,'Исходные данные'!$I$17,'Исходные данные'!$I$18,'Исходные данные'!$I$19,'Исходные данные'!$I$20,'Исходные данные'!$I$21)</f>
        <v>3000</v>
      </c>
      <c r="H14" s="74">
        <f>H$6*'Исходные данные'!$E$10*'Исходные данные'!$G$10*CHOOSE(H$2,'Исходные данные'!$I$10,'Исходные данные'!$I$11,'Исходные данные'!$I$12,'Исходные данные'!$I$13,'Исходные данные'!$I$13,'Исходные данные'!$I$15,'Исходные данные'!$I$16,'Исходные данные'!$I$17,'Исходные данные'!$I$18,'Исходные данные'!$I$19,'Исходные данные'!$I$20,'Исходные данные'!$I$21)</f>
        <v>3500</v>
      </c>
      <c r="I14" s="74">
        <f>I$6*'Исходные данные'!$E$10*'Исходные данные'!$G$10*CHOOSE(I$2,'Исходные данные'!$I$10,'Исходные данные'!$I$11,'Исходные данные'!$I$12,'Исходные данные'!$I$13,'Исходные данные'!$I$13,'Исходные данные'!$I$15,'Исходные данные'!$I$16,'Исходные данные'!$I$17,'Исходные данные'!$I$18,'Исходные данные'!$I$19,'Исходные данные'!$I$20,'Исходные данные'!$I$21)</f>
        <v>4000</v>
      </c>
      <c r="J14" s="74">
        <f>J$6*'Исходные данные'!$E$10*'Исходные данные'!$G$10*CHOOSE(J$2,'Исходные данные'!$I$10,'Исходные данные'!$I$11,'Исходные данные'!$I$12,'Исходные данные'!$I$13,'Исходные данные'!$I$13,'Исходные данные'!$I$15,'Исходные данные'!$I$16,'Исходные данные'!$I$17,'Исходные данные'!$I$18,'Исходные данные'!$I$19,'Исходные данные'!$I$20,'Исходные данные'!$I$21)</f>
        <v>4000</v>
      </c>
      <c r="K14" s="74">
        <f>K$6*'Исходные данные'!$E$10*'Исходные данные'!$G$10*CHOOSE(K$2,'Исходные данные'!$I$10,'Исходные данные'!$I$11,'Исходные данные'!$I$12,'Исходные данные'!$I$13,'Исходные данные'!$I$13,'Исходные данные'!$I$15,'Исходные данные'!$I$16,'Исходные данные'!$I$17,'Исходные данные'!$I$18,'Исходные данные'!$I$19,'Исходные данные'!$I$20,'Исходные данные'!$I$21)</f>
        <v>3000</v>
      </c>
      <c r="L14" s="74">
        <f>L$6*'Исходные данные'!$E$10*'Исходные данные'!$G$10*CHOOSE(L$2,'Исходные данные'!$I$10,'Исходные данные'!$I$11,'Исходные данные'!$I$12,'Исходные данные'!$I$13,'Исходные данные'!$I$13,'Исходные данные'!$I$15,'Исходные данные'!$I$16,'Исходные данные'!$I$17,'Исходные данные'!$I$18,'Исходные данные'!$I$19,'Исходные данные'!$I$20,'Исходные данные'!$I$21)</f>
        <v>3000</v>
      </c>
      <c r="M14" s="74">
        <f>M$6*'Исходные данные'!$E$10*'Исходные данные'!$G$10*CHOOSE(M$2,'Исходные данные'!$I$10,'Исходные данные'!$I$11,'Исходные данные'!$I$12,'Исходные данные'!$I$13,'Исходные данные'!$I$13,'Исходные данные'!$I$15,'Исходные данные'!$I$16,'Исходные данные'!$I$17,'Исходные данные'!$I$18,'Исходные данные'!$I$19,'Исходные данные'!$I$20,'Исходные данные'!$I$21)</f>
        <v>2000</v>
      </c>
      <c r="N14" s="74">
        <f>N$6*'Исходные данные'!$E$10*'Исходные данные'!$G$10*CHOOSE(N$2,'Исходные данные'!$I$10,'Исходные данные'!$I$11,'Исходные данные'!$I$12,'Исходные данные'!$I$13,'Исходные данные'!$I$13,'Исходные данные'!$I$15,'Исходные данные'!$I$16,'Исходные данные'!$I$17,'Исходные данные'!$I$18,'Исходные данные'!$I$19,'Исходные данные'!$I$20,'Исходные данные'!$I$21)</f>
        <v>2000</v>
      </c>
      <c r="O14" s="75">
        <f t="shared" ref="O14" si="5">SUM(C14:N14)</f>
        <v>33150</v>
      </c>
      <c r="P14" s="75">
        <f t="shared" ref="P14" si="6">O14/12</f>
        <v>2762.5</v>
      </c>
      <c r="Q14" s="74">
        <f>Q$6*'Исходные данные'!$E$10*'Исходные данные'!$G$10*CHOOSE(Q$2,'Исходные данные'!$I$10,'Исходные данные'!$I$11,'Исходные данные'!$I$12,'Исходные данные'!$I$13,'Исходные данные'!$I$13,'Исходные данные'!$I$15,'Исходные данные'!$I$16,'Исходные данные'!$I$17,'Исходные данные'!$I$18,'Исходные данные'!$I$19,'Исходные данные'!$I$20,'Исходные данные'!$I$21)</f>
        <v>2400</v>
      </c>
      <c r="R14" s="74">
        <f>R$6*'Исходные данные'!$E$10*'Исходные данные'!$G$10*CHOOSE(R$2,'Исходные данные'!$I$10,'Исходные данные'!$I$11,'Исходные данные'!$I$12,'Исходные данные'!$I$13,'Исходные данные'!$I$13,'Исходные данные'!$I$15,'Исходные данные'!$I$16,'Исходные данные'!$I$17,'Исходные данные'!$I$18,'Исходные данные'!$I$19,'Исходные данные'!$I$20,'Исходные данные'!$I$21)</f>
        <v>3000</v>
      </c>
      <c r="S14" s="74">
        <f>S$6*'Исходные данные'!$E$10*'Исходные данные'!$G$10*CHOOSE(S$2,'Исходные данные'!$I$10,'Исходные данные'!$I$11,'Исходные данные'!$I$12,'Исходные данные'!$I$13,'Исходные данные'!$I$13,'Исходные данные'!$I$15,'Исходные данные'!$I$16,'Исходные данные'!$I$17,'Исходные данные'!$I$18,'Исходные данные'!$I$19,'Исходные данные'!$I$20,'Исходные данные'!$I$21)</f>
        <v>3000</v>
      </c>
      <c r="T14" s="74">
        <f>T$6*'Исходные данные'!$E$10*'Исходные данные'!$G$10*CHOOSE(T$2,'Исходные данные'!$I$10,'Исходные данные'!$I$11,'Исходные данные'!$I$12,'Исходные данные'!$I$13,'Исходные данные'!$I$13,'Исходные данные'!$I$15,'Исходные данные'!$I$16,'Исходные данные'!$I$17,'Исходные данные'!$I$18,'Исходные данные'!$I$19,'Исходные данные'!$I$20,'Исходные данные'!$I$21)</f>
        <v>3600</v>
      </c>
      <c r="U14" s="74">
        <f>U$6*'Исходные данные'!$E$10*'Исходные данные'!$G$10*CHOOSE(U$2,'Исходные данные'!$I$10,'Исходные данные'!$I$11,'Исходные данные'!$I$12,'Исходные данные'!$I$13,'Исходные данные'!$I$13,'Исходные данные'!$I$15,'Исходные данные'!$I$16,'Исходные данные'!$I$17,'Исходные данные'!$I$18,'Исходные данные'!$I$19,'Исходные данные'!$I$20,'Исходные данные'!$I$21)</f>
        <v>3600</v>
      </c>
      <c r="V14" s="74">
        <f>V$6*'Исходные данные'!$E$10*'Исходные данные'!$G$10*CHOOSE(V$2,'Исходные данные'!$I$10,'Исходные данные'!$I$11,'Исходные данные'!$I$12,'Исходные данные'!$I$13,'Исходные данные'!$I$13,'Исходные данные'!$I$15,'Исходные данные'!$I$16,'Исходные данные'!$I$17,'Исходные данные'!$I$18,'Исходные данные'!$I$19,'Исходные данные'!$I$20,'Исходные данные'!$I$21)</f>
        <v>4200</v>
      </c>
      <c r="W14" s="74">
        <f>W$6*'Исходные данные'!$E$10*'Исходные данные'!$G$10*CHOOSE(W$2,'Исходные данные'!$I$10,'Исходные данные'!$I$11,'Исходные данные'!$I$12,'Исходные данные'!$I$13,'Исходные данные'!$I$13,'Исходные данные'!$I$15,'Исходные данные'!$I$16,'Исходные данные'!$I$17,'Исходные данные'!$I$18,'Исходные данные'!$I$19,'Исходные данные'!$I$20,'Исходные данные'!$I$21)</f>
        <v>4800</v>
      </c>
      <c r="X14" s="74">
        <f>X$6*'Исходные данные'!$E$10*'Исходные данные'!$G$10*CHOOSE(X$2,'Исходные данные'!$I$10,'Исходные данные'!$I$11,'Исходные данные'!$I$12,'Исходные данные'!$I$13,'Исходные данные'!$I$13,'Исходные данные'!$I$15,'Исходные данные'!$I$16,'Исходные данные'!$I$17,'Исходные данные'!$I$18,'Исходные данные'!$I$19,'Исходные данные'!$I$20,'Исходные данные'!$I$21)</f>
        <v>4800</v>
      </c>
      <c r="Y14" s="74">
        <f>Y$6*'Исходные данные'!$E$10*'Исходные данные'!$G$10*CHOOSE(Y$2,'Исходные данные'!$I$10,'Исходные данные'!$I$11,'Исходные данные'!$I$12,'Исходные данные'!$I$13,'Исходные данные'!$I$13,'Исходные данные'!$I$15,'Исходные данные'!$I$16,'Исходные данные'!$I$17,'Исходные данные'!$I$18,'Исходные данные'!$I$19,'Исходные данные'!$I$20,'Исходные данные'!$I$21)</f>
        <v>3600</v>
      </c>
      <c r="Z14" s="74">
        <f>Z$6*'Исходные данные'!$E$10*'Исходные данные'!$G$10*CHOOSE(Z$2,'Исходные данные'!$I$10,'Исходные данные'!$I$11,'Исходные данные'!$I$12,'Исходные данные'!$I$13,'Исходные данные'!$I$13,'Исходные данные'!$I$15,'Исходные данные'!$I$16,'Исходные данные'!$I$17,'Исходные данные'!$I$18,'Исходные данные'!$I$19,'Исходные данные'!$I$20,'Исходные данные'!$I$21)</f>
        <v>3600</v>
      </c>
      <c r="AA14" s="74">
        <f>AA$6*'Исходные данные'!$E$10*'Исходные данные'!$G$10*CHOOSE(AA$2,'Исходные данные'!$I$10,'Исходные данные'!$I$11,'Исходные данные'!$I$12,'Исходные данные'!$I$13,'Исходные данные'!$I$13,'Исходные данные'!$I$15,'Исходные данные'!$I$16,'Исходные данные'!$I$17,'Исходные данные'!$I$18,'Исходные данные'!$I$19,'Исходные данные'!$I$20,'Исходные данные'!$I$21)</f>
        <v>2400</v>
      </c>
      <c r="AB14" s="74">
        <f>AB$6*'Исходные данные'!$E$10*'Исходные данные'!$G$10*CHOOSE(AB$2,'Исходные данные'!$I$10,'Исходные данные'!$I$11,'Исходные данные'!$I$12,'Исходные данные'!$I$13,'Исходные данные'!$I$13,'Исходные данные'!$I$15,'Исходные данные'!$I$16,'Исходные данные'!$I$17,'Исходные данные'!$I$18,'Исходные данные'!$I$19,'Исходные данные'!$I$20,'Исходные данные'!$I$21)</f>
        <v>2400</v>
      </c>
      <c r="AC14" s="75">
        <f t="shared" ref="AC14" si="7">SUM(Q14:AB14)</f>
        <v>41400</v>
      </c>
      <c r="AD14" s="75">
        <f t="shared" ref="AD14" si="8">AC14/12</f>
        <v>3450</v>
      </c>
      <c r="AE14" s="74">
        <f>AE$6*'Исходные данные'!$E$10*'Исходные данные'!$G$10*CHOOSE(AE$2,'Исходные данные'!$I$10,'Исходные данные'!$I$11,'Исходные данные'!$I$12,'Исходные данные'!$I$13,'Исходные данные'!$I$13,'Исходные данные'!$I$15,'Исходные данные'!$I$16,'Исходные данные'!$I$17,'Исходные данные'!$I$18,'Исходные данные'!$I$19,'Исходные данные'!$I$20,'Исходные данные'!$I$21)</f>
        <v>2800</v>
      </c>
      <c r="AF14" s="74">
        <f>AF$6*'Исходные данные'!$E$10*'Исходные данные'!$G$10*CHOOSE(AF$2,'Исходные данные'!$I$10,'Исходные данные'!$I$11,'Исходные данные'!$I$12,'Исходные данные'!$I$13,'Исходные данные'!$I$13,'Исходные данные'!$I$15,'Исходные данные'!$I$16,'Исходные данные'!$I$17,'Исходные данные'!$I$18,'Исходные данные'!$I$19,'Исходные данные'!$I$20,'Исходные данные'!$I$21)</f>
        <v>3500</v>
      </c>
      <c r="AG14" s="74">
        <f>AG$6*'Исходные данные'!$E$10*'Исходные данные'!$G$10*CHOOSE(AG$2,'Исходные данные'!$I$10,'Исходные данные'!$I$11,'Исходные данные'!$I$12,'Исходные данные'!$I$13,'Исходные данные'!$I$13,'Исходные данные'!$I$15,'Исходные данные'!$I$16,'Исходные данные'!$I$17,'Исходные данные'!$I$18,'Исходные данные'!$I$19,'Исходные данные'!$I$20,'Исходные данные'!$I$21)</f>
        <v>3500</v>
      </c>
      <c r="AH14" s="74">
        <f>AH$6*'Исходные данные'!$E$10*'Исходные данные'!$G$10*CHOOSE(AH$2,'Исходные данные'!$I$10,'Исходные данные'!$I$11,'Исходные данные'!$I$12,'Исходные данные'!$I$13,'Исходные данные'!$I$13,'Исходные данные'!$I$15,'Исходные данные'!$I$16,'Исходные данные'!$I$17,'Исходные данные'!$I$18,'Исходные данные'!$I$19,'Исходные данные'!$I$20,'Исходные данные'!$I$21)</f>
        <v>4200</v>
      </c>
      <c r="AI14" s="74">
        <f>AI$6*'Исходные данные'!$E$10*'Исходные данные'!$G$10*CHOOSE(AI$2,'Исходные данные'!$I$10,'Исходные данные'!$I$11,'Исходные данные'!$I$12,'Исходные данные'!$I$13,'Исходные данные'!$I$13,'Исходные данные'!$I$15,'Исходные данные'!$I$16,'Исходные данные'!$I$17,'Исходные данные'!$I$18,'Исходные данные'!$I$19,'Исходные данные'!$I$20,'Исходные данные'!$I$21)</f>
        <v>4200</v>
      </c>
      <c r="AJ14" s="74">
        <f>AJ$6*'Исходные данные'!$E$10*'Исходные данные'!$G$10*CHOOSE(AJ$2,'Исходные данные'!$I$10,'Исходные данные'!$I$11,'Исходные данные'!$I$12,'Исходные данные'!$I$13,'Исходные данные'!$I$13,'Исходные данные'!$I$15,'Исходные данные'!$I$16,'Исходные данные'!$I$17,'Исходные данные'!$I$18,'Исходные данные'!$I$19,'Исходные данные'!$I$20,'Исходные данные'!$I$21)</f>
        <v>4900</v>
      </c>
      <c r="AK14" s="74">
        <f>AK$6*'Исходные данные'!$E$10*'Исходные данные'!$G$10*CHOOSE(AK$2,'Исходные данные'!$I$10,'Исходные данные'!$I$11,'Исходные данные'!$I$12,'Исходные данные'!$I$13,'Исходные данные'!$I$13,'Исходные данные'!$I$15,'Исходные данные'!$I$16,'Исходные данные'!$I$17,'Исходные данные'!$I$18,'Исходные данные'!$I$19,'Исходные данные'!$I$20,'Исходные данные'!$I$21)</f>
        <v>5600</v>
      </c>
      <c r="AL14" s="74">
        <f>AL$6*'Исходные данные'!$E$10*'Исходные данные'!$G$10*CHOOSE(AL$2,'Исходные данные'!$I$10,'Исходные данные'!$I$11,'Исходные данные'!$I$12,'Исходные данные'!$I$13,'Исходные данные'!$I$13,'Исходные данные'!$I$15,'Исходные данные'!$I$16,'Исходные данные'!$I$17,'Исходные данные'!$I$18,'Исходные данные'!$I$19,'Исходные данные'!$I$20,'Исходные данные'!$I$21)</f>
        <v>5600</v>
      </c>
      <c r="AM14" s="74">
        <f>AM$6*'Исходные данные'!$E$10*'Исходные данные'!$G$10*CHOOSE(AM$2,'Исходные данные'!$I$10,'Исходные данные'!$I$11,'Исходные данные'!$I$12,'Исходные данные'!$I$13,'Исходные данные'!$I$13,'Исходные данные'!$I$15,'Исходные данные'!$I$16,'Исходные данные'!$I$17,'Исходные данные'!$I$18,'Исходные данные'!$I$19,'Исходные данные'!$I$20,'Исходные данные'!$I$21)</f>
        <v>4200</v>
      </c>
      <c r="AN14" s="74">
        <f>AN$6*'Исходные данные'!$E$10*'Исходные данные'!$G$10*CHOOSE(AN$2,'Исходные данные'!$I$10,'Исходные данные'!$I$11,'Исходные данные'!$I$12,'Исходные данные'!$I$13,'Исходные данные'!$I$13,'Исходные данные'!$I$15,'Исходные данные'!$I$16,'Исходные данные'!$I$17,'Исходные данные'!$I$18,'Исходные данные'!$I$19,'Исходные данные'!$I$20,'Исходные данные'!$I$21)</f>
        <v>4200</v>
      </c>
      <c r="AO14" s="74">
        <f>AO$6*'Исходные данные'!$E$10*'Исходные данные'!$G$10*CHOOSE(AO$2,'Исходные данные'!$I$10,'Исходные данные'!$I$11,'Исходные данные'!$I$12,'Исходные данные'!$I$13,'Исходные данные'!$I$13,'Исходные данные'!$I$15,'Исходные данные'!$I$16,'Исходные данные'!$I$17,'Исходные данные'!$I$18,'Исходные данные'!$I$19,'Исходные данные'!$I$20,'Исходные данные'!$I$21)</f>
        <v>2800</v>
      </c>
      <c r="AP14" s="74">
        <f>AP$6*'Исходные данные'!$E$10*'Исходные данные'!$G$10*CHOOSE(AP$2,'Исходные данные'!$I$10,'Исходные данные'!$I$11,'Исходные данные'!$I$12,'Исходные данные'!$I$13,'Исходные данные'!$I$13,'Исходные данные'!$I$15,'Исходные данные'!$I$16,'Исходные данные'!$I$17,'Исходные данные'!$I$18,'Исходные данные'!$I$19,'Исходные данные'!$I$20,'Исходные данные'!$I$21)</f>
        <v>2800</v>
      </c>
      <c r="AQ14" s="75">
        <f t="shared" ref="AQ14" si="9">SUM(AE14:AP14)</f>
        <v>48300</v>
      </c>
      <c r="AR14" s="75">
        <f t="shared" ref="AR14" si="10">AQ14/12</f>
        <v>4025</v>
      </c>
      <c r="AS14" s="76">
        <f t="shared" ref="AS14" si="11">O14+AC14+AQ14</f>
        <v>122850</v>
      </c>
      <c r="AT14" s="77"/>
    </row>
    <row r="15" spans="1:54" s="72" customFormat="1" ht="10.5" x14ac:dyDescent="0.35">
      <c r="A15" s="83" t="s">
        <v>3</v>
      </c>
      <c r="B15" s="84" t="str">
        <f>CHOOSE('Исходные данные'!$N$2,'Исходные данные'!$O$2,'Исходные данные'!$O$3,'Исходные данные'!$O$4,'Исходные данные'!$O$5)</f>
        <v>USD</v>
      </c>
      <c r="C15" s="85">
        <f t="shared" ref="C15:AS15" si="12">SUM(C14:C14)</f>
        <v>1400</v>
      </c>
      <c r="D15" s="85">
        <f t="shared" si="12"/>
        <v>2000</v>
      </c>
      <c r="E15" s="85">
        <f t="shared" si="12"/>
        <v>2250</v>
      </c>
      <c r="F15" s="85">
        <f t="shared" si="12"/>
        <v>3000</v>
      </c>
      <c r="G15" s="85">
        <f t="shared" si="12"/>
        <v>3000</v>
      </c>
      <c r="H15" s="85">
        <f t="shared" si="12"/>
        <v>3500</v>
      </c>
      <c r="I15" s="85">
        <f t="shared" si="12"/>
        <v>4000</v>
      </c>
      <c r="J15" s="85">
        <f t="shared" si="12"/>
        <v>4000</v>
      </c>
      <c r="K15" s="85">
        <f t="shared" si="12"/>
        <v>3000</v>
      </c>
      <c r="L15" s="85">
        <f t="shared" si="12"/>
        <v>3000</v>
      </c>
      <c r="M15" s="85">
        <f t="shared" si="12"/>
        <v>2000</v>
      </c>
      <c r="N15" s="85">
        <f t="shared" si="12"/>
        <v>2000</v>
      </c>
      <c r="O15" s="85">
        <f t="shared" si="12"/>
        <v>33150</v>
      </c>
      <c r="P15" s="85">
        <f t="shared" si="12"/>
        <v>2762.5</v>
      </c>
      <c r="Q15" s="85">
        <f t="shared" si="12"/>
        <v>2400</v>
      </c>
      <c r="R15" s="85">
        <f t="shared" si="12"/>
        <v>3000</v>
      </c>
      <c r="S15" s="85">
        <f t="shared" si="12"/>
        <v>3000</v>
      </c>
      <c r="T15" s="85">
        <f t="shared" si="12"/>
        <v>3600</v>
      </c>
      <c r="U15" s="85">
        <f t="shared" si="12"/>
        <v>3600</v>
      </c>
      <c r="V15" s="85">
        <f t="shared" si="12"/>
        <v>4200</v>
      </c>
      <c r="W15" s="85">
        <f t="shared" si="12"/>
        <v>4800</v>
      </c>
      <c r="X15" s="85">
        <f t="shared" si="12"/>
        <v>4800</v>
      </c>
      <c r="Y15" s="85">
        <f t="shared" si="12"/>
        <v>3600</v>
      </c>
      <c r="Z15" s="85">
        <f t="shared" si="12"/>
        <v>3600</v>
      </c>
      <c r="AA15" s="85">
        <f t="shared" si="12"/>
        <v>2400</v>
      </c>
      <c r="AB15" s="85">
        <f t="shared" si="12"/>
        <v>2400</v>
      </c>
      <c r="AC15" s="85">
        <f t="shared" si="12"/>
        <v>41400</v>
      </c>
      <c r="AD15" s="85">
        <f t="shared" si="12"/>
        <v>3450</v>
      </c>
      <c r="AE15" s="85">
        <f t="shared" si="12"/>
        <v>2800</v>
      </c>
      <c r="AF15" s="85">
        <f t="shared" si="12"/>
        <v>3500</v>
      </c>
      <c r="AG15" s="85">
        <f t="shared" si="12"/>
        <v>3500</v>
      </c>
      <c r="AH15" s="85">
        <f t="shared" si="12"/>
        <v>4200</v>
      </c>
      <c r="AI15" s="85">
        <f t="shared" si="12"/>
        <v>4200</v>
      </c>
      <c r="AJ15" s="85">
        <f t="shared" si="12"/>
        <v>4900</v>
      </c>
      <c r="AK15" s="85">
        <f t="shared" si="12"/>
        <v>5600</v>
      </c>
      <c r="AL15" s="85">
        <f t="shared" si="12"/>
        <v>5600</v>
      </c>
      <c r="AM15" s="85">
        <f t="shared" si="12"/>
        <v>4200</v>
      </c>
      <c r="AN15" s="85">
        <f t="shared" si="12"/>
        <v>4200</v>
      </c>
      <c r="AO15" s="85">
        <f t="shared" si="12"/>
        <v>2800</v>
      </c>
      <c r="AP15" s="85">
        <f t="shared" si="12"/>
        <v>2800</v>
      </c>
      <c r="AQ15" s="85">
        <f t="shared" si="12"/>
        <v>48300</v>
      </c>
      <c r="AR15" s="85">
        <f t="shared" si="12"/>
        <v>4025</v>
      </c>
      <c r="AS15" s="85">
        <f t="shared" si="12"/>
        <v>122850</v>
      </c>
      <c r="AT15" s="86"/>
      <c r="AV15" s="78"/>
    </row>
    <row r="16" spans="1:54" s="72" customFormat="1" ht="10.8" thickBot="1" x14ac:dyDescent="0.4">
      <c r="A16" s="83"/>
      <c r="B16" s="84"/>
      <c r="C16" s="85"/>
      <c r="D16" s="85"/>
      <c r="E16" s="85"/>
      <c r="F16" s="85"/>
      <c r="G16" s="85"/>
      <c r="H16" s="85"/>
      <c r="I16" s="85"/>
      <c r="J16" s="85"/>
      <c r="K16" s="85"/>
      <c r="L16" s="85"/>
      <c r="M16" s="85"/>
      <c r="N16" s="85"/>
      <c r="O16" s="85"/>
      <c r="P16" s="85"/>
      <c r="Q16" s="85"/>
      <c r="R16" s="85"/>
      <c r="S16" s="85"/>
      <c r="T16" s="85"/>
      <c r="U16" s="85"/>
      <c r="V16" s="85"/>
      <c r="W16" s="85"/>
      <c r="X16" s="85"/>
      <c r="Y16" s="85"/>
      <c r="Z16" s="85"/>
      <c r="AA16" s="85"/>
      <c r="AB16" s="85"/>
      <c r="AC16" s="85"/>
      <c r="AD16" s="85"/>
      <c r="AE16" s="85"/>
      <c r="AF16" s="85"/>
      <c r="AG16" s="85"/>
      <c r="AH16" s="85"/>
      <c r="AI16" s="85"/>
      <c r="AJ16" s="85"/>
      <c r="AK16" s="85"/>
      <c r="AL16" s="85"/>
      <c r="AM16" s="85"/>
      <c r="AN16" s="85"/>
      <c r="AO16" s="85"/>
      <c r="AP16" s="85"/>
      <c r="AQ16" s="85"/>
      <c r="AR16" s="85"/>
      <c r="AS16" s="85"/>
      <c r="AT16" s="86"/>
      <c r="AV16" s="78"/>
    </row>
    <row r="17" spans="1:46" s="8" customFormat="1" ht="21.6" thickTop="1" thickBot="1" x14ac:dyDescent="0.4">
      <c r="A17" s="63" t="s">
        <v>74</v>
      </c>
      <c r="B17" s="90"/>
      <c r="C17" s="69" t="str">
        <f t="shared" ref="C17:N17" si="13">C$5</f>
        <v>январь</v>
      </c>
      <c r="D17" s="69" t="str">
        <f t="shared" si="13"/>
        <v>февраль</v>
      </c>
      <c r="E17" s="69" t="str">
        <f t="shared" si="13"/>
        <v>март</v>
      </c>
      <c r="F17" s="69" t="str">
        <f t="shared" si="13"/>
        <v>апрель</v>
      </c>
      <c r="G17" s="69" t="str">
        <f t="shared" si="13"/>
        <v>май</v>
      </c>
      <c r="H17" s="69" t="str">
        <f t="shared" si="13"/>
        <v>июнь</v>
      </c>
      <c r="I17" s="69" t="str">
        <f t="shared" si="13"/>
        <v>июль</v>
      </c>
      <c r="J17" s="69" t="str">
        <f t="shared" si="13"/>
        <v>август</v>
      </c>
      <c r="K17" s="69" t="str">
        <f t="shared" si="13"/>
        <v>сентябрь</v>
      </c>
      <c r="L17" s="69" t="str">
        <f t="shared" si="13"/>
        <v>октябрь</v>
      </c>
      <c r="M17" s="69" t="str">
        <f t="shared" si="13"/>
        <v>ноябрь</v>
      </c>
      <c r="N17" s="69" t="str">
        <f t="shared" si="13"/>
        <v>декабрь</v>
      </c>
      <c r="O17" s="91" t="str">
        <f>$O$13</f>
        <v>Итого за 1-й год</v>
      </c>
      <c r="P17" s="91" t="str">
        <f>$P$13</f>
        <v>Среднемесячно за 1-й год</v>
      </c>
      <c r="Q17" s="69" t="str">
        <f t="shared" ref="Q17:AB17" si="14">Q$5</f>
        <v>январь</v>
      </c>
      <c r="R17" s="69" t="str">
        <f t="shared" si="14"/>
        <v>февраль</v>
      </c>
      <c r="S17" s="69" t="str">
        <f t="shared" si="14"/>
        <v>март</v>
      </c>
      <c r="T17" s="69" t="str">
        <f t="shared" si="14"/>
        <v>апрель</v>
      </c>
      <c r="U17" s="69" t="str">
        <f t="shared" si="14"/>
        <v>май</v>
      </c>
      <c r="V17" s="69" t="str">
        <f t="shared" si="14"/>
        <v>июнь</v>
      </c>
      <c r="W17" s="69" t="str">
        <f t="shared" si="14"/>
        <v>июль</v>
      </c>
      <c r="X17" s="69" t="str">
        <f t="shared" si="14"/>
        <v>август</v>
      </c>
      <c r="Y17" s="69" t="str">
        <f t="shared" si="14"/>
        <v>сентябрь</v>
      </c>
      <c r="Z17" s="69" t="str">
        <f t="shared" si="14"/>
        <v>октябрь</v>
      </c>
      <c r="AA17" s="69" t="str">
        <f t="shared" si="14"/>
        <v>ноябрь</v>
      </c>
      <c r="AB17" s="69" t="str">
        <f t="shared" si="14"/>
        <v>декабрь</v>
      </c>
      <c r="AC17" s="91" t="str">
        <f>$AC$13</f>
        <v>Итого за 2-й год</v>
      </c>
      <c r="AD17" s="91" t="str">
        <f>$AD$13</f>
        <v>Среднемесячно за 2-й год</v>
      </c>
      <c r="AE17" s="69" t="str">
        <f t="shared" ref="AE17:AP17" si="15">AE$5</f>
        <v>январь</v>
      </c>
      <c r="AF17" s="69" t="str">
        <f t="shared" si="15"/>
        <v>февраль</v>
      </c>
      <c r="AG17" s="69" t="str">
        <f t="shared" si="15"/>
        <v>март</v>
      </c>
      <c r="AH17" s="69" t="str">
        <f t="shared" si="15"/>
        <v>апрель</v>
      </c>
      <c r="AI17" s="69" t="str">
        <f t="shared" si="15"/>
        <v>май</v>
      </c>
      <c r="AJ17" s="69" t="str">
        <f t="shared" si="15"/>
        <v>июнь</v>
      </c>
      <c r="AK17" s="69" t="str">
        <f t="shared" si="15"/>
        <v>июль</v>
      </c>
      <c r="AL17" s="69" t="str">
        <f t="shared" si="15"/>
        <v>август</v>
      </c>
      <c r="AM17" s="69" t="str">
        <f t="shared" si="15"/>
        <v>сентябрь</v>
      </c>
      <c r="AN17" s="69" t="str">
        <f t="shared" si="15"/>
        <v>октябрь</v>
      </c>
      <c r="AO17" s="69" t="str">
        <f t="shared" si="15"/>
        <v>ноябрь</v>
      </c>
      <c r="AP17" s="69" t="str">
        <f t="shared" si="15"/>
        <v>декабрь</v>
      </c>
      <c r="AQ17" s="91" t="str">
        <f>AQ13</f>
        <v>Итого за 3-й год</v>
      </c>
      <c r="AR17" s="91" t="str">
        <f>AR13</f>
        <v>Среднемесячно за 3-й год</v>
      </c>
      <c r="AS17" s="177" t="str">
        <f>AS12</f>
        <v>Итого за три года</v>
      </c>
    </row>
    <row r="18" spans="1:46" s="78" customFormat="1" ht="10.8" thickTop="1" x14ac:dyDescent="0.35">
      <c r="A18" s="92" t="str">
        <f>'Обобщенный расчет'!B9</f>
        <v>Ремонт помещения</v>
      </c>
      <c r="B18" s="80" t="str">
        <f>CHOOSE('Исходные данные'!$N$2,'Исходные данные'!$O$2,'Исходные данные'!$O$3,'Исходные данные'!$O$4,'Исходные данные'!$O$5)</f>
        <v>USD</v>
      </c>
      <c r="C18" s="81">
        <f>'Обобщенный расчет'!D9</f>
        <v>111.11111111111111</v>
      </c>
      <c r="D18" s="81"/>
      <c r="E18" s="81"/>
      <c r="F18" s="81"/>
      <c r="G18" s="81"/>
      <c r="H18" s="81"/>
      <c r="I18" s="81"/>
      <c r="J18" s="81"/>
      <c r="K18" s="81"/>
      <c r="L18" s="81"/>
      <c r="M18" s="81"/>
      <c r="N18" s="81"/>
      <c r="O18" s="82">
        <f t="shared" ref="O18:O25" si="16">SUM(C18:N18)</f>
        <v>111.11111111111111</v>
      </c>
      <c r="P18" s="82"/>
      <c r="Q18" s="81"/>
      <c r="R18" s="81"/>
      <c r="S18" s="81"/>
      <c r="T18" s="81"/>
      <c r="U18" s="81"/>
      <c r="V18" s="81"/>
      <c r="W18" s="81"/>
      <c r="X18" s="81"/>
      <c r="Y18" s="81"/>
      <c r="Z18" s="81"/>
      <c r="AA18" s="81"/>
      <c r="AB18" s="81"/>
      <c r="AC18" s="82">
        <f t="shared" ref="AC18:AC25" si="17">SUM(Q18:AB18)</f>
        <v>0</v>
      </c>
      <c r="AD18" s="82"/>
      <c r="AE18" s="81"/>
      <c r="AF18" s="81"/>
      <c r="AG18" s="81"/>
      <c r="AH18" s="81"/>
      <c r="AI18" s="81"/>
      <c r="AJ18" s="81"/>
      <c r="AK18" s="81"/>
      <c r="AL18" s="81"/>
      <c r="AM18" s="81"/>
      <c r="AN18" s="81"/>
      <c r="AO18" s="81"/>
      <c r="AP18" s="81"/>
      <c r="AQ18" s="82">
        <f t="shared" ref="AQ18:AQ25" si="18">SUM(AE18:AP18)</f>
        <v>0</v>
      </c>
      <c r="AR18" s="82"/>
      <c r="AS18" s="76">
        <f t="shared" ref="AS18:AS26" si="19">O18+AC18+AQ18</f>
        <v>111.11111111111111</v>
      </c>
      <c r="AT18" s="77"/>
    </row>
    <row r="19" spans="1:46" s="78" customFormat="1" ht="10.5" x14ac:dyDescent="0.35">
      <c r="A19" s="93" t="str">
        <f>'Обобщенный расчет'!B10</f>
        <v>Мебель</v>
      </c>
      <c r="B19" s="73" t="str">
        <f>CHOOSE('Исходные данные'!$N$2,'Исходные данные'!$O$2,'Исходные данные'!$O$3,'Исходные данные'!$O$4,'Исходные данные'!$O$5)</f>
        <v>USD</v>
      </c>
      <c r="C19" s="74">
        <f>'Обобщенный расчет'!D10</f>
        <v>259.25925925925924</v>
      </c>
      <c r="D19" s="74"/>
      <c r="E19" s="74"/>
      <c r="F19" s="74"/>
      <c r="G19" s="74"/>
      <c r="H19" s="74"/>
      <c r="I19" s="74"/>
      <c r="J19" s="74"/>
      <c r="K19" s="74"/>
      <c r="L19" s="74"/>
      <c r="M19" s="74"/>
      <c r="N19" s="74"/>
      <c r="O19" s="75">
        <f t="shared" ref="O19" si="20">SUM(C19:N19)</f>
        <v>259.25925925925924</v>
      </c>
      <c r="P19" s="75"/>
      <c r="Q19" s="74"/>
      <c r="R19" s="74"/>
      <c r="S19" s="74"/>
      <c r="T19" s="74"/>
      <c r="U19" s="74"/>
      <c r="V19" s="74"/>
      <c r="W19" s="74"/>
      <c r="X19" s="74"/>
      <c r="Y19" s="74"/>
      <c r="Z19" s="74"/>
      <c r="AA19" s="74"/>
      <c r="AB19" s="74"/>
      <c r="AC19" s="75">
        <f t="shared" ref="AC19" si="21">SUM(Q19:AB19)</f>
        <v>0</v>
      </c>
      <c r="AD19" s="75"/>
      <c r="AE19" s="74"/>
      <c r="AF19" s="74"/>
      <c r="AG19" s="74"/>
      <c r="AH19" s="74"/>
      <c r="AI19" s="74"/>
      <c r="AJ19" s="74"/>
      <c r="AK19" s="74"/>
      <c r="AL19" s="74"/>
      <c r="AM19" s="74"/>
      <c r="AN19" s="74"/>
      <c r="AO19" s="74"/>
      <c r="AP19" s="74"/>
      <c r="AQ19" s="75">
        <f t="shared" ref="AQ19" si="22">SUM(AE19:AP19)</f>
        <v>0</v>
      </c>
      <c r="AR19" s="75"/>
      <c r="AS19" s="76">
        <f t="shared" ref="AS19" si="23">O19+AC19+AQ19</f>
        <v>259.25925925925924</v>
      </c>
      <c r="AT19" s="77"/>
    </row>
    <row r="20" spans="1:46" s="78" customFormat="1" ht="10.5" x14ac:dyDescent="0.35">
      <c r="A20" s="92" t="str">
        <f>'Обобщенный расчет'!B11</f>
        <v>Компьютер и  офисная техника</v>
      </c>
      <c r="B20" s="80" t="str">
        <f>CHOOSE('Исходные данные'!$N$2,'Исходные данные'!$O$2,'Исходные данные'!$O$3,'Исходные данные'!$O$4,'Исходные данные'!$O$5)</f>
        <v>USD</v>
      </c>
      <c r="C20" s="81">
        <f>'Обобщенный расчет'!D11</f>
        <v>0</v>
      </c>
      <c r="D20" s="81"/>
      <c r="E20" s="81"/>
      <c r="F20" s="81"/>
      <c r="G20" s="81"/>
      <c r="H20" s="81"/>
      <c r="I20" s="81"/>
      <c r="J20" s="81"/>
      <c r="K20" s="81"/>
      <c r="L20" s="81"/>
      <c r="M20" s="81"/>
      <c r="N20" s="81"/>
      <c r="O20" s="82">
        <f t="shared" si="16"/>
        <v>0</v>
      </c>
      <c r="P20" s="82"/>
      <c r="Q20" s="81"/>
      <c r="R20" s="81"/>
      <c r="S20" s="81"/>
      <c r="T20" s="81"/>
      <c r="U20" s="81"/>
      <c r="V20" s="81"/>
      <c r="W20" s="81"/>
      <c r="X20" s="81"/>
      <c r="Y20" s="81"/>
      <c r="Z20" s="81"/>
      <c r="AA20" s="81"/>
      <c r="AB20" s="81"/>
      <c r="AC20" s="82">
        <f t="shared" si="17"/>
        <v>0</v>
      </c>
      <c r="AD20" s="82"/>
      <c r="AE20" s="81"/>
      <c r="AF20" s="81"/>
      <c r="AG20" s="81"/>
      <c r="AH20" s="81"/>
      <c r="AI20" s="81"/>
      <c r="AJ20" s="81"/>
      <c r="AK20" s="81"/>
      <c r="AL20" s="81"/>
      <c r="AM20" s="81"/>
      <c r="AN20" s="81"/>
      <c r="AO20" s="81"/>
      <c r="AP20" s="81"/>
      <c r="AQ20" s="82">
        <f t="shared" si="18"/>
        <v>0</v>
      </c>
      <c r="AR20" s="82"/>
      <c r="AS20" s="76">
        <f t="shared" si="19"/>
        <v>0</v>
      </c>
      <c r="AT20" s="77"/>
    </row>
    <row r="21" spans="1:46" s="78" customFormat="1" ht="10.5" x14ac:dyDescent="0.35">
      <c r="A21" s="93" t="str">
        <f>'Обобщенный расчет'!B12</f>
        <v>Сигнализация (охранная и пожарная)</v>
      </c>
      <c r="B21" s="73" t="str">
        <f>CHOOSE('Исходные данные'!$N$2,'Исходные данные'!$O$2,'Исходные данные'!$O$3,'Исходные данные'!$O$4,'Исходные данные'!$O$5)</f>
        <v>USD</v>
      </c>
      <c r="C21" s="74">
        <f>'Обобщенный расчет'!D12</f>
        <v>0</v>
      </c>
      <c r="D21" s="74"/>
      <c r="E21" s="74"/>
      <c r="F21" s="74"/>
      <c r="G21" s="74"/>
      <c r="H21" s="74"/>
      <c r="I21" s="74"/>
      <c r="J21" s="74"/>
      <c r="K21" s="74"/>
      <c r="L21" s="74"/>
      <c r="M21" s="74"/>
      <c r="N21" s="74"/>
      <c r="O21" s="75">
        <f t="shared" si="16"/>
        <v>0</v>
      </c>
      <c r="P21" s="75"/>
      <c r="Q21" s="74"/>
      <c r="R21" s="74"/>
      <c r="S21" s="74"/>
      <c r="T21" s="74"/>
      <c r="U21" s="74"/>
      <c r="V21" s="74"/>
      <c r="W21" s="74"/>
      <c r="X21" s="74"/>
      <c r="Y21" s="74"/>
      <c r="Z21" s="74"/>
      <c r="AA21" s="74"/>
      <c r="AB21" s="74"/>
      <c r="AC21" s="75">
        <f t="shared" si="17"/>
        <v>0</v>
      </c>
      <c r="AD21" s="75"/>
      <c r="AE21" s="74"/>
      <c r="AF21" s="74"/>
      <c r="AG21" s="74"/>
      <c r="AH21" s="74"/>
      <c r="AI21" s="74"/>
      <c r="AJ21" s="74"/>
      <c r="AK21" s="74"/>
      <c r="AL21" s="74"/>
      <c r="AM21" s="74"/>
      <c r="AN21" s="74"/>
      <c r="AO21" s="74"/>
      <c r="AP21" s="74"/>
      <c r="AQ21" s="75">
        <f t="shared" si="18"/>
        <v>0</v>
      </c>
      <c r="AR21" s="75"/>
      <c r="AS21" s="76">
        <f t="shared" si="19"/>
        <v>0</v>
      </c>
      <c r="AT21" s="77"/>
    </row>
    <row r="22" spans="1:46" s="78" customFormat="1" ht="10.5" x14ac:dyDescent="0.35">
      <c r="A22" s="92" t="str">
        <f>'Обобщенный расчет'!B13</f>
        <v>Залоговый платёж по аренде</v>
      </c>
      <c r="B22" s="80" t="str">
        <f>CHOOSE('Исходные данные'!$N$2,'Исходные данные'!$O$2,'Исходные данные'!$O$3,'Исходные данные'!$O$4,'Исходные данные'!$O$5)</f>
        <v>USD</v>
      </c>
      <c r="C22" s="81">
        <f>'Обобщенный расчет'!D13</f>
        <v>111.11111111111111</v>
      </c>
      <c r="D22" s="81"/>
      <c r="E22" s="81"/>
      <c r="F22" s="81"/>
      <c r="G22" s="81"/>
      <c r="H22" s="81"/>
      <c r="I22" s="81"/>
      <c r="J22" s="81"/>
      <c r="K22" s="81"/>
      <c r="L22" s="81"/>
      <c r="M22" s="81"/>
      <c r="N22" s="81"/>
      <c r="O22" s="82">
        <f t="shared" si="16"/>
        <v>111.11111111111111</v>
      </c>
      <c r="P22" s="82"/>
      <c r="Q22" s="81"/>
      <c r="R22" s="81"/>
      <c r="S22" s="81"/>
      <c r="T22" s="81"/>
      <c r="U22" s="81"/>
      <c r="V22" s="81"/>
      <c r="W22" s="81"/>
      <c r="X22" s="81"/>
      <c r="Y22" s="81"/>
      <c r="Z22" s="81"/>
      <c r="AA22" s="81"/>
      <c r="AB22" s="81"/>
      <c r="AC22" s="82">
        <f t="shared" si="17"/>
        <v>0</v>
      </c>
      <c r="AD22" s="82"/>
      <c r="AE22" s="81"/>
      <c r="AF22" s="81"/>
      <c r="AG22" s="81"/>
      <c r="AH22" s="81"/>
      <c r="AI22" s="81"/>
      <c r="AJ22" s="81"/>
      <c r="AK22" s="81"/>
      <c r="AL22" s="81"/>
      <c r="AM22" s="81"/>
      <c r="AN22" s="81"/>
      <c r="AO22" s="81"/>
      <c r="AP22" s="81"/>
      <c r="AQ22" s="82">
        <f t="shared" si="18"/>
        <v>0</v>
      </c>
      <c r="AR22" s="82"/>
      <c r="AS22" s="76">
        <f t="shared" si="19"/>
        <v>111.11111111111111</v>
      </c>
      <c r="AT22" s="77"/>
    </row>
    <row r="23" spans="1:46" s="78" customFormat="1" ht="10.5" x14ac:dyDescent="0.35">
      <c r="A23" s="93" t="str">
        <f>'Обобщенный расчет'!B14</f>
        <v>Рекламная кампания</v>
      </c>
      <c r="B23" s="73" t="str">
        <f>CHOOSE('Исходные данные'!$N$2,'Исходные данные'!$O$2,'Исходные данные'!$O$3,'Исходные данные'!$O$4,'Исходные данные'!$O$5)</f>
        <v>USD</v>
      </c>
      <c r="C23" s="74">
        <f>'Обобщенный расчет'!D14</f>
        <v>370.37037037037038</v>
      </c>
      <c r="D23" s="74"/>
      <c r="E23" s="74"/>
      <c r="F23" s="74"/>
      <c r="G23" s="74"/>
      <c r="H23" s="74"/>
      <c r="I23" s="74"/>
      <c r="J23" s="74"/>
      <c r="K23" s="74"/>
      <c r="L23" s="74"/>
      <c r="M23" s="74"/>
      <c r="N23" s="74"/>
      <c r="O23" s="75">
        <f t="shared" si="16"/>
        <v>370.37037037037038</v>
      </c>
      <c r="P23" s="75"/>
      <c r="Q23" s="74"/>
      <c r="R23" s="74"/>
      <c r="S23" s="74"/>
      <c r="T23" s="74"/>
      <c r="U23" s="74"/>
      <c r="V23" s="74"/>
      <c r="W23" s="74"/>
      <c r="X23" s="74"/>
      <c r="Y23" s="74"/>
      <c r="Z23" s="74"/>
      <c r="AA23" s="74"/>
      <c r="AB23" s="74"/>
      <c r="AC23" s="75">
        <f t="shared" si="17"/>
        <v>0</v>
      </c>
      <c r="AD23" s="75"/>
      <c r="AE23" s="74"/>
      <c r="AF23" s="74"/>
      <c r="AG23" s="74"/>
      <c r="AH23" s="74"/>
      <c r="AI23" s="74"/>
      <c r="AJ23" s="74"/>
      <c r="AK23" s="74"/>
      <c r="AL23" s="74"/>
      <c r="AM23" s="74"/>
      <c r="AN23" s="74"/>
      <c r="AO23" s="74"/>
      <c r="AP23" s="74"/>
      <c r="AQ23" s="75">
        <f t="shared" si="18"/>
        <v>0</v>
      </c>
      <c r="AR23" s="75"/>
      <c r="AS23" s="76">
        <f t="shared" si="19"/>
        <v>370.37037037037038</v>
      </c>
      <c r="AT23" s="77"/>
    </row>
    <row r="24" spans="1:46" s="78" customFormat="1" ht="10.5" x14ac:dyDescent="0.35">
      <c r="A24" s="92" t="str">
        <f>'Обобщенный расчет'!B15</f>
        <v>Паушальный взнос</v>
      </c>
      <c r="B24" s="80" t="str">
        <f>CHOOSE('Исходные данные'!$N$2,'Исходные данные'!$O$2,'Исходные данные'!$O$3,'Исходные данные'!$O$4,'Исходные данные'!$O$5)</f>
        <v>USD</v>
      </c>
      <c r="C24" s="81">
        <f>'Обобщенный расчет'!D15</f>
        <v>3000</v>
      </c>
      <c r="D24" s="81"/>
      <c r="E24" s="81"/>
      <c r="F24" s="81"/>
      <c r="G24" s="81"/>
      <c r="H24" s="81"/>
      <c r="I24" s="81"/>
      <c r="J24" s="81"/>
      <c r="K24" s="81"/>
      <c r="L24" s="81"/>
      <c r="M24" s="81"/>
      <c r="N24" s="81"/>
      <c r="O24" s="82">
        <f t="shared" si="16"/>
        <v>3000</v>
      </c>
      <c r="P24" s="82"/>
      <c r="Q24" s="81"/>
      <c r="R24" s="81"/>
      <c r="S24" s="81"/>
      <c r="T24" s="81"/>
      <c r="U24" s="81"/>
      <c r="V24" s="81"/>
      <c r="W24" s="81"/>
      <c r="X24" s="81"/>
      <c r="Y24" s="81"/>
      <c r="Z24" s="81"/>
      <c r="AA24" s="81"/>
      <c r="AB24" s="81"/>
      <c r="AC24" s="82">
        <f t="shared" si="17"/>
        <v>0</v>
      </c>
      <c r="AD24" s="82"/>
      <c r="AE24" s="81"/>
      <c r="AF24" s="81"/>
      <c r="AG24" s="81"/>
      <c r="AH24" s="81"/>
      <c r="AI24" s="81"/>
      <c r="AJ24" s="81"/>
      <c r="AK24" s="81"/>
      <c r="AL24" s="81"/>
      <c r="AM24" s="81"/>
      <c r="AN24" s="81"/>
      <c r="AO24" s="81"/>
      <c r="AP24" s="81"/>
      <c r="AQ24" s="82">
        <f t="shared" si="18"/>
        <v>0</v>
      </c>
      <c r="AR24" s="82"/>
      <c r="AS24" s="76">
        <f t="shared" si="19"/>
        <v>3000</v>
      </c>
      <c r="AT24" s="77"/>
    </row>
    <row r="25" spans="1:46" s="78" customFormat="1" ht="10.5" x14ac:dyDescent="0.35">
      <c r="A25" s="93" t="str">
        <f>'Обобщенный расчет'!B16</f>
        <v>Прочее</v>
      </c>
      <c r="B25" s="73" t="str">
        <f>CHOOSE('Исходные данные'!$N$2,'Исходные данные'!$O$2,'Исходные данные'!$O$3,'Исходные данные'!$O$4,'Исходные данные'!$O$5)</f>
        <v>USD</v>
      </c>
      <c r="C25" s="74">
        <f>'Обобщенный расчет'!D16</f>
        <v>0</v>
      </c>
      <c r="D25" s="74"/>
      <c r="E25" s="74"/>
      <c r="F25" s="74"/>
      <c r="G25" s="74"/>
      <c r="H25" s="74"/>
      <c r="I25" s="74"/>
      <c r="J25" s="74"/>
      <c r="K25" s="74"/>
      <c r="L25" s="74"/>
      <c r="M25" s="74"/>
      <c r="N25" s="74"/>
      <c r="O25" s="75">
        <f t="shared" si="16"/>
        <v>0</v>
      </c>
      <c r="P25" s="75"/>
      <c r="Q25" s="74"/>
      <c r="R25" s="74"/>
      <c r="S25" s="74"/>
      <c r="T25" s="74"/>
      <c r="U25" s="74"/>
      <c r="V25" s="74"/>
      <c r="W25" s="74"/>
      <c r="X25" s="74"/>
      <c r="Y25" s="74"/>
      <c r="Z25" s="74"/>
      <c r="AA25" s="74"/>
      <c r="AB25" s="74"/>
      <c r="AC25" s="75">
        <f t="shared" si="17"/>
        <v>0</v>
      </c>
      <c r="AD25" s="75"/>
      <c r="AE25" s="74"/>
      <c r="AF25" s="74"/>
      <c r="AG25" s="74"/>
      <c r="AH25" s="74"/>
      <c r="AI25" s="74"/>
      <c r="AJ25" s="74"/>
      <c r="AK25" s="74"/>
      <c r="AL25" s="74"/>
      <c r="AM25" s="74"/>
      <c r="AN25" s="74"/>
      <c r="AO25" s="74"/>
      <c r="AP25" s="74"/>
      <c r="AQ25" s="75">
        <f t="shared" si="18"/>
        <v>0</v>
      </c>
      <c r="AR25" s="75"/>
      <c r="AS25" s="76">
        <f t="shared" si="19"/>
        <v>0</v>
      </c>
      <c r="AT25" s="77"/>
    </row>
    <row r="26" spans="1:46" s="72" customFormat="1" ht="10.5" x14ac:dyDescent="0.35">
      <c r="A26" s="83" t="s">
        <v>9</v>
      </c>
      <c r="B26" s="84" t="str">
        <f>CHOOSE('Исходные данные'!$N$2,'Исходные данные'!$O$2,'Исходные данные'!$O$3,'Исходные данные'!$O$4,'Исходные данные'!$O$5)</f>
        <v>USD</v>
      </c>
      <c r="C26" s="85">
        <f t="shared" ref="C26:O26" si="24">SUM(C18:C25)</f>
        <v>3851.8518518518517</v>
      </c>
      <c r="D26" s="85">
        <f t="shared" si="24"/>
        <v>0</v>
      </c>
      <c r="E26" s="85">
        <f t="shared" si="24"/>
        <v>0</v>
      </c>
      <c r="F26" s="85">
        <f t="shared" si="24"/>
        <v>0</v>
      </c>
      <c r="G26" s="85">
        <f t="shared" si="24"/>
        <v>0</v>
      </c>
      <c r="H26" s="85">
        <f t="shared" si="24"/>
        <v>0</v>
      </c>
      <c r="I26" s="85">
        <f t="shared" si="24"/>
        <v>0</v>
      </c>
      <c r="J26" s="85">
        <f t="shared" si="24"/>
        <v>0</v>
      </c>
      <c r="K26" s="85">
        <f t="shared" si="24"/>
        <v>0</v>
      </c>
      <c r="L26" s="85">
        <f t="shared" si="24"/>
        <v>0</v>
      </c>
      <c r="M26" s="85">
        <f t="shared" si="24"/>
        <v>0</v>
      </c>
      <c r="N26" s="85">
        <f t="shared" si="24"/>
        <v>0</v>
      </c>
      <c r="O26" s="85">
        <f t="shared" si="24"/>
        <v>3851.8518518518517</v>
      </c>
      <c r="P26" s="85"/>
      <c r="Q26" s="85">
        <f t="shared" ref="Q26:AC26" si="25">SUM(Q18:Q25)</f>
        <v>0</v>
      </c>
      <c r="R26" s="85">
        <f t="shared" si="25"/>
        <v>0</v>
      </c>
      <c r="S26" s="85">
        <f t="shared" si="25"/>
        <v>0</v>
      </c>
      <c r="T26" s="85">
        <f t="shared" si="25"/>
        <v>0</v>
      </c>
      <c r="U26" s="85">
        <f t="shared" si="25"/>
        <v>0</v>
      </c>
      <c r="V26" s="85">
        <f t="shared" si="25"/>
        <v>0</v>
      </c>
      <c r="W26" s="85">
        <f t="shared" si="25"/>
        <v>0</v>
      </c>
      <c r="X26" s="85">
        <f t="shared" si="25"/>
        <v>0</v>
      </c>
      <c r="Y26" s="85">
        <f t="shared" si="25"/>
        <v>0</v>
      </c>
      <c r="Z26" s="85">
        <f t="shared" si="25"/>
        <v>0</v>
      </c>
      <c r="AA26" s="85">
        <f t="shared" si="25"/>
        <v>0</v>
      </c>
      <c r="AB26" s="85">
        <f t="shared" si="25"/>
        <v>0</v>
      </c>
      <c r="AC26" s="85">
        <f t="shared" si="25"/>
        <v>0</v>
      </c>
      <c r="AD26" s="85"/>
      <c r="AE26" s="85">
        <f t="shared" ref="AE26:AQ26" si="26">SUM(AE18:AE25)</f>
        <v>0</v>
      </c>
      <c r="AF26" s="85">
        <f t="shared" si="26"/>
        <v>0</v>
      </c>
      <c r="AG26" s="85">
        <f t="shared" si="26"/>
        <v>0</v>
      </c>
      <c r="AH26" s="85">
        <f t="shared" si="26"/>
        <v>0</v>
      </c>
      <c r="AI26" s="85">
        <f t="shared" si="26"/>
        <v>0</v>
      </c>
      <c r="AJ26" s="85">
        <f t="shared" si="26"/>
        <v>0</v>
      </c>
      <c r="AK26" s="85">
        <f t="shared" si="26"/>
        <v>0</v>
      </c>
      <c r="AL26" s="85">
        <f t="shared" si="26"/>
        <v>0</v>
      </c>
      <c r="AM26" s="85">
        <f t="shared" si="26"/>
        <v>0</v>
      </c>
      <c r="AN26" s="85">
        <f t="shared" si="26"/>
        <v>0</v>
      </c>
      <c r="AO26" s="85">
        <f t="shared" si="26"/>
        <v>0</v>
      </c>
      <c r="AP26" s="85">
        <f t="shared" si="26"/>
        <v>0</v>
      </c>
      <c r="AQ26" s="85">
        <f t="shared" si="26"/>
        <v>0</v>
      </c>
      <c r="AR26" s="85"/>
      <c r="AS26" s="94">
        <f t="shared" si="19"/>
        <v>3851.8518518518517</v>
      </c>
      <c r="AT26" s="86"/>
    </row>
    <row r="27" spans="1:46" s="72" customFormat="1" ht="10.8" thickBot="1" x14ac:dyDescent="0.4">
      <c r="A27" s="175"/>
      <c r="B27" s="80"/>
      <c r="C27" s="176"/>
      <c r="D27" s="176"/>
      <c r="E27" s="176"/>
      <c r="F27" s="176"/>
      <c r="G27" s="176"/>
      <c r="H27" s="176"/>
      <c r="I27" s="176"/>
      <c r="J27" s="176"/>
      <c r="K27" s="176"/>
      <c r="L27" s="176"/>
      <c r="M27" s="176"/>
      <c r="N27" s="176"/>
      <c r="O27" s="176"/>
      <c r="P27" s="176"/>
      <c r="Q27" s="176"/>
      <c r="R27" s="176"/>
      <c r="S27" s="176"/>
      <c r="T27" s="176"/>
      <c r="U27" s="176"/>
      <c r="V27" s="176"/>
      <c r="W27" s="176"/>
      <c r="X27" s="176"/>
      <c r="Y27" s="176"/>
      <c r="Z27" s="176"/>
      <c r="AA27" s="176"/>
      <c r="AB27" s="176"/>
      <c r="AC27" s="176"/>
      <c r="AD27" s="176"/>
      <c r="AE27" s="176"/>
      <c r="AF27" s="176"/>
      <c r="AG27" s="176"/>
      <c r="AH27" s="176"/>
      <c r="AI27" s="176"/>
      <c r="AJ27" s="176"/>
      <c r="AK27" s="176"/>
      <c r="AL27" s="176"/>
      <c r="AM27" s="176"/>
      <c r="AN27" s="176"/>
      <c r="AO27" s="176"/>
      <c r="AP27" s="176"/>
      <c r="AQ27" s="176"/>
      <c r="AR27" s="176"/>
      <c r="AS27" s="179"/>
      <c r="AT27" s="86"/>
    </row>
    <row r="28" spans="1:46" s="184" customFormat="1" ht="10.5" hidden="1" x14ac:dyDescent="0.35">
      <c r="A28" s="180" t="s">
        <v>111</v>
      </c>
      <c r="B28" s="185" t="e">
        <f>'Исходные данные'!#REF!</f>
        <v>#REF!</v>
      </c>
      <c r="C28" s="181" t="e">
        <f>IF(#REF!&gt;$B$28,1,0)</f>
        <v>#REF!</v>
      </c>
      <c r="D28" s="181" t="e">
        <f>IF(OR(#REF!&gt;$B$28,C28=1),1,0)</f>
        <v>#REF!</v>
      </c>
      <c r="E28" s="181" t="e">
        <f>IF(OR(#REF!&gt;$B$28,D28=1),1,0)</f>
        <v>#REF!</v>
      </c>
      <c r="F28" s="181" t="e">
        <f>IF(OR(#REF!&gt;$B$28,E28=1),1,0)</f>
        <v>#REF!</v>
      </c>
      <c r="G28" s="181" t="e">
        <f>IF(OR(#REF!&gt;$B$28,F28=1),1,0)</f>
        <v>#REF!</v>
      </c>
      <c r="H28" s="181" t="e">
        <f>IF(OR(#REF!&gt;$B$28,G28=1),1,0)</f>
        <v>#REF!</v>
      </c>
      <c r="I28" s="181" t="e">
        <f>IF(OR(#REF!&gt;$B$28,H28=1),1,0)</f>
        <v>#REF!</v>
      </c>
      <c r="J28" s="181" t="e">
        <f>IF(OR(#REF!&gt;$B$28,I28=1),1,0)</f>
        <v>#REF!</v>
      </c>
      <c r="K28" s="181" t="e">
        <f>IF(OR(#REF!&gt;$B$28,J28=1),1,0)</f>
        <v>#REF!</v>
      </c>
      <c r="L28" s="181" t="e">
        <f>IF(OR(#REF!&gt;$B$28,K28=1),1,0)</f>
        <v>#REF!</v>
      </c>
      <c r="M28" s="181" t="e">
        <f>IF(OR(#REF!&gt;$B$28,L28=1),1,0)</f>
        <v>#REF!</v>
      </c>
      <c r="N28" s="181" t="e">
        <f>IF(OR(#REF!&gt;$B$28,M28=1),1,0)</f>
        <v>#REF!</v>
      </c>
      <c r="O28" s="181"/>
      <c r="P28" s="181"/>
      <c r="Q28" s="181" t="e">
        <f>IF(OR(#REF!&gt;$B$28,N28=1),1,0)</f>
        <v>#REF!</v>
      </c>
      <c r="R28" s="181" t="e">
        <f>IF(OR(#REF!&gt;$B$28,Q28=1),1,0)</f>
        <v>#REF!</v>
      </c>
      <c r="S28" s="181" t="e">
        <f>IF(OR(#REF!&gt;$B$28,R28=1),1,0)</f>
        <v>#REF!</v>
      </c>
      <c r="T28" s="181" t="e">
        <f>IF(OR(#REF!&gt;$B$28,S28=1),1,0)</f>
        <v>#REF!</v>
      </c>
      <c r="U28" s="181" t="e">
        <f>IF(OR(#REF!&gt;$B$28,T28=1),1,0)</f>
        <v>#REF!</v>
      </c>
      <c r="V28" s="181" t="e">
        <f>IF(OR(#REF!&gt;$B$28,U28=1),1,0)</f>
        <v>#REF!</v>
      </c>
      <c r="W28" s="181" t="e">
        <f>IF(OR(#REF!&gt;$B$28,V28=1),1,0)</f>
        <v>#REF!</v>
      </c>
      <c r="X28" s="181" t="e">
        <f>IF(OR(#REF!&gt;$B$28,W28=1),1,0)</f>
        <v>#REF!</v>
      </c>
      <c r="Y28" s="181" t="e">
        <f>IF(OR(#REF!&gt;$B$28,X28=1),1,0)</f>
        <v>#REF!</v>
      </c>
      <c r="Z28" s="181" t="e">
        <f>IF(OR(#REF!&gt;$B$28,Y28=1),1,0)</f>
        <v>#REF!</v>
      </c>
      <c r="AA28" s="181" t="e">
        <f>IF(OR(#REF!&gt;$B$28,Z28=1),1,0)</f>
        <v>#REF!</v>
      </c>
      <c r="AB28" s="181" t="e">
        <f>IF(OR(#REF!&gt;$B$28,AA28=1),1,0)</f>
        <v>#REF!</v>
      </c>
      <c r="AC28" s="181"/>
      <c r="AD28" s="181"/>
      <c r="AE28" s="181" t="e">
        <f>IF(OR(#REF!&gt;$B$28,AB28=1),1,0)</f>
        <v>#REF!</v>
      </c>
      <c r="AF28" s="181" t="e">
        <f>IF(OR(#REF!&gt;$B$28,AE28=1),1,0)</f>
        <v>#REF!</v>
      </c>
      <c r="AG28" s="181" t="e">
        <f>IF(OR(#REF!&gt;$B$28,AF28=1),1,0)</f>
        <v>#REF!</v>
      </c>
      <c r="AH28" s="181" t="e">
        <f>IF(OR(#REF!&gt;$B$28,AG28=1),1,0)</f>
        <v>#REF!</v>
      </c>
      <c r="AI28" s="181" t="e">
        <f>IF(OR(#REF!&gt;$B$28,AH28=1),1,0)</f>
        <v>#REF!</v>
      </c>
      <c r="AJ28" s="181" t="e">
        <f>IF(OR(#REF!&gt;$B$28,AI28=1),1,0)</f>
        <v>#REF!</v>
      </c>
      <c r="AK28" s="181" t="e">
        <f>IF(OR(#REF!&gt;$B$28,AJ28=1),1,0)</f>
        <v>#REF!</v>
      </c>
      <c r="AL28" s="181" t="e">
        <f>IF(OR(#REF!&gt;$B$28,AK28=1),1,0)</f>
        <v>#REF!</v>
      </c>
      <c r="AM28" s="181" t="e">
        <f>IF(OR(#REF!&gt;$B$28,AL28=1),1,0)</f>
        <v>#REF!</v>
      </c>
      <c r="AN28" s="181" t="e">
        <f>IF(OR(#REF!&gt;$B$28,AM28=1),1,0)</f>
        <v>#REF!</v>
      </c>
      <c r="AO28" s="181" t="e">
        <f>IF(OR(#REF!&gt;$B$28,AN28=1),1,0)</f>
        <v>#REF!</v>
      </c>
      <c r="AP28" s="181" t="e">
        <f>IF(OR(#REF!&gt;$B$28,AO28=1),1,0)</f>
        <v>#REF!</v>
      </c>
      <c r="AQ28" s="181"/>
      <c r="AR28" s="181"/>
      <c r="AS28" s="182"/>
      <c r="AT28" s="183"/>
    </row>
    <row r="29" spans="1:46" s="99" customFormat="1" ht="10.8" hidden="1" thickBot="1" x14ac:dyDescent="0.4">
      <c r="A29" s="95"/>
      <c r="B29" s="96"/>
      <c r="C29" s="97"/>
      <c r="D29" s="97"/>
      <c r="E29" s="97"/>
      <c r="F29" s="97"/>
      <c r="G29" s="97"/>
      <c r="H29" s="97"/>
      <c r="I29" s="97"/>
      <c r="J29" s="97"/>
      <c r="K29" s="97"/>
      <c r="L29" s="97"/>
      <c r="M29" s="97"/>
      <c r="N29" s="97"/>
      <c r="O29" s="97"/>
      <c r="P29" s="97"/>
      <c r="Q29" s="97"/>
      <c r="R29" s="97"/>
      <c r="S29" s="97"/>
      <c r="T29" s="97"/>
      <c r="U29" s="97"/>
      <c r="V29" s="97"/>
      <c r="W29" s="97"/>
      <c r="X29" s="97"/>
      <c r="Y29" s="97"/>
      <c r="Z29" s="97"/>
      <c r="AA29" s="97"/>
      <c r="AB29" s="97"/>
      <c r="AC29" s="97"/>
      <c r="AD29" s="97"/>
      <c r="AE29" s="97"/>
      <c r="AF29" s="97"/>
      <c r="AG29" s="97"/>
      <c r="AH29" s="97"/>
      <c r="AI29" s="97"/>
      <c r="AJ29" s="97"/>
      <c r="AK29" s="97"/>
      <c r="AL29" s="97"/>
      <c r="AM29" s="97"/>
      <c r="AN29" s="97"/>
      <c r="AO29" s="97"/>
      <c r="AP29" s="97"/>
      <c r="AQ29" s="97"/>
      <c r="AR29" s="97"/>
      <c r="AS29" s="98"/>
    </row>
    <row r="30" spans="1:46" s="8" customFormat="1" ht="21.6" thickTop="1" thickBot="1" x14ac:dyDescent="0.4">
      <c r="A30" s="63" t="s">
        <v>8</v>
      </c>
      <c r="B30" s="90"/>
      <c r="C30" s="69" t="str">
        <f t="shared" ref="C30:N30" si="27">C$5</f>
        <v>январь</v>
      </c>
      <c r="D30" s="69" t="str">
        <f t="shared" si="27"/>
        <v>февраль</v>
      </c>
      <c r="E30" s="69" t="str">
        <f t="shared" si="27"/>
        <v>март</v>
      </c>
      <c r="F30" s="69" t="str">
        <f t="shared" si="27"/>
        <v>апрель</v>
      </c>
      <c r="G30" s="69" t="str">
        <f t="shared" si="27"/>
        <v>май</v>
      </c>
      <c r="H30" s="69" t="str">
        <f t="shared" si="27"/>
        <v>июнь</v>
      </c>
      <c r="I30" s="69" t="str">
        <f t="shared" si="27"/>
        <v>июль</v>
      </c>
      <c r="J30" s="69" t="str">
        <f t="shared" si="27"/>
        <v>август</v>
      </c>
      <c r="K30" s="69" t="str">
        <f t="shared" si="27"/>
        <v>сентябрь</v>
      </c>
      <c r="L30" s="69" t="str">
        <f t="shared" si="27"/>
        <v>октябрь</v>
      </c>
      <c r="M30" s="69" t="str">
        <f t="shared" si="27"/>
        <v>ноябрь</v>
      </c>
      <c r="N30" s="69" t="str">
        <f t="shared" si="27"/>
        <v>декабрь</v>
      </c>
      <c r="O30" s="91" t="str">
        <f>$O$13</f>
        <v>Итого за 1-й год</v>
      </c>
      <c r="P30" s="91" t="str">
        <f>$P$13</f>
        <v>Среднемесячно за 1-й год</v>
      </c>
      <c r="Q30" s="69" t="str">
        <f t="shared" ref="Q30:AB30" si="28">Q$5</f>
        <v>январь</v>
      </c>
      <c r="R30" s="69" t="str">
        <f t="shared" si="28"/>
        <v>февраль</v>
      </c>
      <c r="S30" s="69" t="str">
        <f t="shared" si="28"/>
        <v>март</v>
      </c>
      <c r="T30" s="69" t="str">
        <f t="shared" si="28"/>
        <v>апрель</v>
      </c>
      <c r="U30" s="69" t="str">
        <f t="shared" si="28"/>
        <v>май</v>
      </c>
      <c r="V30" s="69" t="str">
        <f t="shared" si="28"/>
        <v>июнь</v>
      </c>
      <c r="W30" s="69" t="str">
        <f t="shared" si="28"/>
        <v>июль</v>
      </c>
      <c r="X30" s="69" t="str">
        <f t="shared" si="28"/>
        <v>август</v>
      </c>
      <c r="Y30" s="69" t="str">
        <f t="shared" si="28"/>
        <v>сентябрь</v>
      </c>
      <c r="Z30" s="69" t="str">
        <f t="shared" si="28"/>
        <v>октябрь</v>
      </c>
      <c r="AA30" s="69" t="str">
        <f t="shared" si="28"/>
        <v>ноябрь</v>
      </c>
      <c r="AB30" s="69" t="str">
        <f t="shared" si="28"/>
        <v>декабрь</v>
      </c>
      <c r="AC30" s="91" t="str">
        <f>AC17</f>
        <v>Итого за 2-й год</v>
      </c>
      <c r="AD30" s="91" t="str">
        <f>AD17</f>
        <v>Среднемесячно за 2-й год</v>
      </c>
      <c r="AE30" s="69" t="str">
        <f t="shared" ref="AE30:AP30" si="29">AE$5</f>
        <v>январь</v>
      </c>
      <c r="AF30" s="69" t="str">
        <f t="shared" si="29"/>
        <v>февраль</v>
      </c>
      <c r="AG30" s="69" t="str">
        <f t="shared" si="29"/>
        <v>март</v>
      </c>
      <c r="AH30" s="69" t="str">
        <f t="shared" si="29"/>
        <v>апрель</v>
      </c>
      <c r="AI30" s="69" t="str">
        <f t="shared" si="29"/>
        <v>май</v>
      </c>
      <c r="AJ30" s="69" t="str">
        <f t="shared" si="29"/>
        <v>июнь</v>
      </c>
      <c r="AK30" s="69" t="str">
        <f t="shared" si="29"/>
        <v>июль</v>
      </c>
      <c r="AL30" s="69" t="str">
        <f t="shared" si="29"/>
        <v>август</v>
      </c>
      <c r="AM30" s="69" t="str">
        <f t="shared" si="29"/>
        <v>сентябрь</v>
      </c>
      <c r="AN30" s="69" t="str">
        <f t="shared" si="29"/>
        <v>октябрь</v>
      </c>
      <c r="AO30" s="69" t="str">
        <f t="shared" si="29"/>
        <v>ноябрь</v>
      </c>
      <c r="AP30" s="69" t="str">
        <f t="shared" si="29"/>
        <v>декабрь</v>
      </c>
      <c r="AQ30" s="91" t="str">
        <f>AQ17</f>
        <v>Итого за 3-й год</v>
      </c>
      <c r="AR30" s="91" t="str">
        <f>AR17</f>
        <v>Среднемесячно за 3-й год</v>
      </c>
      <c r="AS30" s="177" t="str">
        <f>AS17</f>
        <v>Итого за три года</v>
      </c>
    </row>
    <row r="31" spans="1:46" s="78" customFormat="1" ht="10.8" thickTop="1" x14ac:dyDescent="0.35">
      <c r="A31" s="92" t="str">
        <f>'Обобщенный расчет'!B25</f>
        <v>Зарплата персонала</v>
      </c>
      <c r="B31" s="80" t="str">
        <f>CHOOSE('Исходные данные'!$N$2,'Исходные данные'!$O$2,'Исходные данные'!$O$3,'Исходные данные'!$O$4,'Исходные данные'!$O$5)</f>
        <v>USD</v>
      </c>
      <c r="C31" s="81">
        <f>'Обобщенный расчет'!$C$21*'Обобщенный расчет'!$D$21+C15*'Обобщенный расчет'!$F$21</f>
        <v>0</v>
      </c>
      <c r="D31" s="81">
        <f>'Обобщенный расчет'!$C$21*'Обобщенный расчет'!$D$21+D15*'Обобщенный расчет'!$F$21</f>
        <v>0</v>
      </c>
      <c r="E31" s="81">
        <f>'Обобщенный расчет'!$C$21*'Обобщенный расчет'!$D$21+E15*'Обобщенный расчет'!$F$21</f>
        <v>0</v>
      </c>
      <c r="F31" s="81">
        <f>'Обобщенный расчет'!$C$21*'Обобщенный расчет'!$D$21+F15*'Обобщенный расчет'!$F$21</f>
        <v>0</v>
      </c>
      <c r="G31" s="81">
        <f>'Обобщенный расчет'!$C$21*'Обобщенный расчет'!$D$21+G15*'Обобщенный расчет'!$F$21</f>
        <v>0</v>
      </c>
      <c r="H31" s="81">
        <f>'Обобщенный расчет'!$C$21*'Обобщенный расчет'!$D$21+H15*'Обобщенный расчет'!$F$21</f>
        <v>0</v>
      </c>
      <c r="I31" s="81">
        <f>'Обобщенный расчет'!$C$21*'Обобщенный расчет'!$D$21+I15*'Обобщенный расчет'!$F$21</f>
        <v>0</v>
      </c>
      <c r="J31" s="81">
        <f>'Обобщенный расчет'!$C$21*'Обобщенный расчет'!$D$21+J15*'Обобщенный расчет'!$F$21</f>
        <v>0</v>
      </c>
      <c r="K31" s="81">
        <f>'Обобщенный расчет'!$C$21*'Обобщенный расчет'!$D$21+K15*'Обобщенный расчет'!$F$21</f>
        <v>0</v>
      </c>
      <c r="L31" s="81">
        <f>'Обобщенный расчет'!$C$21*'Обобщенный расчет'!$D$21+L15*'Обобщенный расчет'!$F$21</f>
        <v>0</v>
      </c>
      <c r="M31" s="81">
        <f>'Обобщенный расчет'!$C$21*'Обобщенный расчет'!$D$21+M15*'Обобщенный расчет'!$F$21</f>
        <v>0</v>
      </c>
      <c r="N31" s="81">
        <f>'Обобщенный расчет'!$C$21*'Обобщенный расчет'!$D$21+N15*'Обобщенный расчет'!$F$21</f>
        <v>0</v>
      </c>
      <c r="O31" s="82">
        <f t="shared" ref="O31:O35" si="30">SUM(C31:N31)</f>
        <v>0</v>
      </c>
      <c r="P31" s="82">
        <f t="shared" ref="P31:P35" si="31">O31/12</f>
        <v>0</v>
      </c>
      <c r="Q31" s="81">
        <f>'Обобщенный расчет'!$C$21*'Обобщенный расчет'!$D$21+Q15*'Обобщенный расчет'!$F$21</f>
        <v>0</v>
      </c>
      <c r="R31" s="81">
        <f>'Обобщенный расчет'!$C$21*'Обобщенный расчет'!$D$21+R15*'Обобщенный расчет'!$F$21</f>
        <v>0</v>
      </c>
      <c r="S31" s="81">
        <f>'Обобщенный расчет'!$C$21*'Обобщенный расчет'!$D$21+S15*'Обобщенный расчет'!$F$21</f>
        <v>0</v>
      </c>
      <c r="T31" s="81">
        <f>'Обобщенный расчет'!$C$21*'Обобщенный расчет'!$D$21+T15*'Обобщенный расчет'!$F$21</f>
        <v>0</v>
      </c>
      <c r="U31" s="81">
        <f>'Обобщенный расчет'!$C$21*'Обобщенный расчет'!$D$21+U15*'Обобщенный расчет'!$F$21</f>
        <v>0</v>
      </c>
      <c r="V31" s="81">
        <f>'Обобщенный расчет'!$C$21*'Обобщенный расчет'!$D$21+V15*'Обобщенный расчет'!$F$21</f>
        <v>0</v>
      </c>
      <c r="W31" s="81">
        <f>'Обобщенный расчет'!$C$21*'Обобщенный расчет'!$D$21+W15*'Обобщенный расчет'!$F$21</f>
        <v>0</v>
      </c>
      <c r="X31" s="81">
        <f>'Обобщенный расчет'!$C$21*'Обобщенный расчет'!$D$21+X15*'Обобщенный расчет'!$F$21</f>
        <v>0</v>
      </c>
      <c r="Y31" s="81">
        <f>'Обобщенный расчет'!$C$21*'Обобщенный расчет'!$D$21+Y15*'Обобщенный расчет'!$F$21</f>
        <v>0</v>
      </c>
      <c r="Z31" s="81">
        <f>'Обобщенный расчет'!$C$21*'Обобщенный расчет'!$D$21+Z15*'Обобщенный расчет'!$F$21</f>
        <v>0</v>
      </c>
      <c r="AA31" s="81">
        <f>'Обобщенный расчет'!$C$21*'Обобщенный расчет'!$D$21+AA15*'Обобщенный расчет'!$F$21</f>
        <v>0</v>
      </c>
      <c r="AB31" s="81">
        <f>'Обобщенный расчет'!$C$21*'Обобщенный расчет'!$D$21+AB15*'Обобщенный расчет'!$F$21</f>
        <v>0</v>
      </c>
      <c r="AC31" s="82">
        <f t="shared" ref="AC31:AC35" si="32">SUM(Q31:AB31)</f>
        <v>0</v>
      </c>
      <c r="AD31" s="82">
        <f t="shared" ref="AD31:AD35" si="33">AC31/12</f>
        <v>0</v>
      </c>
      <c r="AE31" s="81">
        <f>'Обобщенный расчет'!$C$21*'Обобщенный расчет'!$D$21+AE15*'Обобщенный расчет'!$F$21</f>
        <v>0</v>
      </c>
      <c r="AF31" s="81">
        <f>'Обобщенный расчет'!$C$21*'Обобщенный расчет'!$D$21+AF15*'Обобщенный расчет'!$F$21</f>
        <v>0</v>
      </c>
      <c r="AG31" s="81">
        <f>'Обобщенный расчет'!$C$21*'Обобщенный расчет'!$D$21+AG15*'Обобщенный расчет'!$F$21</f>
        <v>0</v>
      </c>
      <c r="AH31" s="81">
        <f>'Обобщенный расчет'!$C$21*'Обобщенный расчет'!$D$21+AH15*'Обобщенный расчет'!$F$21</f>
        <v>0</v>
      </c>
      <c r="AI31" s="81">
        <f>'Обобщенный расчет'!$C$21*'Обобщенный расчет'!$D$21+AI15*'Обобщенный расчет'!$F$21</f>
        <v>0</v>
      </c>
      <c r="AJ31" s="81">
        <f>'Обобщенный расчет'!$C$21*'Обобщенный расчет'!$D$21+AJ15*'Обобщенный расчет'!$F$21</f>
        <v>0</v>
      </c>
      <c r="AK31" s="81">
        <f>'Обобщенный расчет'!$C$21*'Обобщенный расчет'!$D$21+AK15*'Обобщенный расчет'!$F$21</f>
        <v>0</v>
      </c>
      <c r="AL31" s="81">
        <f>'Обобщенный расчет'!$C$21*'Обобщенный расчет'!$D$21+AL15*'Обобщенный расчет'!$F$21</f>
        <v>0</v>
      </c>
      <c r="AM31" s="81">
        <f>'Обобщенный расчет'!$C$21*'Обобщенный расчет'!$D$21+AM15*'Обобщенный расчет'!$F$21</f>
        <v>0</v>
      </c>
      <c r="AN31" s="81">
        <f>'Обобщенный расчет'!$C$21*'Обобщенный расчет'!$D$21+AN15*'Обобщенный расчет'!$F$21</f>
        <v>0</v>
      </c>
      <c r="AO31" s="81">
        <f>'Обобщенный расчет'!$C$21*'Обобщенный расчет'!$D$21+AO15*'Обобщенный расчет'!$F$21</f>
        <v>0</v>
      </c>
      <c r="AP31" s="81">
        <f>'Обобщенный расчет'!$C$21*'Обобщенный расчет'!$D$21+AP15*'Обобщенный расчет'!$F$21</f>
        <v>0</v>
      </c>
      <c r="AQ31" s="82">
        <f t="shared" ref="AQ31:AQ35" si="34">SUM(AE31:AP31)</f>
        <v>0</v>
      </c>
      <c r="AR31" s="82">
        <f t="shared" ref="AR31:AR35" si="35">AQ31/12</f>
        <v>0</v>
      </c>
      <c r="AS31" s="76">
        <f t="shared" ref="AS31:AS35" si="36">O31+AC31+AQ31</f>
        <v>0</v>
      </c>
      <c r="AT31" s="77"/>
    </row>
    <row r="32" spans="1:46" s="78" customFormat="1" ht="10.5" x14ac:dyDescent="0.35">
      <c r="A32" s="93" t="str">
        <f>'Обобщенный расчет'!B26</f>
        <v>Маркетинговые отчисления</v>
      </c>
      <c r="B32" s="73" t="str">
        <f>CHOOSE('Исходные данные'!$N$2,'Исходные данные'!$O$2,'Исходные данные'!$O$3,'Исходные данные'!$O$4,'Исходные данные'!$O$5)</f>
        <v>USD</v>
      </c>
      <c r="C32" s="74">
        <f>'Исходные данные'!$H$64*C$6*CHOOSE(C$2,'Исходные данные'!$I$10,'Исходные данные'!$I$11,'Исходные данные'!$I$12,'Исходные данные'!$I$13,'Исходные данные'!$I$13,'Исходные данные'!$I$15,'Исходные данные'!$I$16,'Исходные данные'!$I$17,'Исходные данные'!$I$18,'Исходные данные'!$I$19,'Исходные данные'!$I$20,'Исходные данные'!$I$21)</f>
        <v>56</v>
      </c>
      <c r="D32" s="74">
        <f>'Исходные данные'!$H$64*D$6*CHOOSE(D$2,'Исходные данные'!$I$10,'Исходные данные'!$I$11,'Исходные данные'!$I$12,'Исходные данные'!$I$13,'Исходные данные'!$I$13,'Исходные данные'!$I$15,'Исходные данные'!$I$16,'Исходные данные'!$I$17,'Исходные данные'!$I$18,'Исходные данные'!$I$19,'Исходные данные'!$I$20,'Исходные данные'!$I$21)</f>
        <v>80</v>
      </c>
      <c r="E32" s="74">
        <f>'Исходные данные'!$H$64*E$6*CHOOSE(E$2,'Исходные данные'!$I$10,'Исходные данные'!$I$11,'Исходные данные'!$I$12,'Исходные данные'!$I$13,'Исходные данные'!$I$13,'Исходные данные'!$I$15,'Исходные данные'!$I$16,'Исходные данные'!$I$17,'Исходные данные'!$I$18,'Исходные данные'!$I$19,'Исходные данные'!$I$20,'Исходные данные'!$I$21)</f>
        <v>90</v>
      </c>
      <c r="F32" s="74">
        <f>'Исходные данные'!$H$64*F$6*CHOOSE(F$2,'Исходные данные'!$I$10,'Исходные данные'!$I$11,'Исходные данные'!$I$12,'Исходные данные'!$I$13,'Исходные данные'!$I$13,'Исходные данные'!$I$15,'Исходные данные'!$I$16,'Исходные данные'!$I$17,'Исходные данные'!$I$18,'Исходные данные'!$I$19,'Исходные данные'!$I$20,'Исходные данные'!$I$21)</f>
        <v>120</v>
      </c>
      <c r="G32" s="74">
        <f>'Исходные данные'!$H$64*G$6*CHOOSE(G$2,'Исходные данные'!$I$10,'Исходные данные'!$I$11,'Исходные данные'!$I$12,'Исходные данные'!$I$13,'Исходные данные'!$I$13,'Исходные данные'!$I$15,'Исходные данные'!$I$16,'Исходные данные'!$I$17,'Исходные данные'!$I$18,'Исходные данные'!$I$19,'Исходные данные'!$I$20,'Исходные данные'!$I$21)</f>
        <v>120</v>
      </c>
      <c r="H32" s="74">
        <f>'Исходные данные'!$H$64*H$6*CHOOSE(H$2,'Исходные данные'!$I$10,'Исходные данные'!$I$11,'Исходные данные'!$I$12,'Исходные данные'!$I$13,'Исходные данные'!$I$13,'Исходные данные'!$I$15,'Исходные данные'!$I$16,'Исходные данные'!$I$17,'Исходные данные'!$I$18,'Исходные данные'!$I$19,'Исходные данные'!$I$20,'Исходные данные'!$I$21)</f>
        <v>140</v>
      </c>
      <c r="I32" s="74">
        <f>'Исходные данные'!$H$64*I$6*CHOOSE(I$2,'Исходные данные'!$I$10,'Исходные данные'!$I$11,'Исходные данные'!$I$12,'Исходные данные'!$I$13,'Исходные данные'!$I$13,'Исходные данные'!$I$15,'Исходные данные'!$I$16,'Исходные данные'!$I$17,'Исходные данные'!$I$18,'Исходные данные'!$I$19,'Исходные данные'!$I$20,'Исходные данные'!$I$21)</f>
        <v>160</v>
      </c>
      <c r="J32" s="74">
        <f>'Исходные данные'!$H$64*J$6*CHOOSE(J$2,'Исходные данные'!$I$10,'Исходные данные'!$I$11,'Исходные данные'!$I$12,'Исходные данные'!$I$13,'Исходные данные'!$I$13,'Исходные данные'!$I$15,'Исходные данные'!$I$16,'Исходные данные'!$I$17,'Исходные данные'!$I$18,'Исходные данные'!$I$19,'Исходные данные'!$I$20,'Исходные данные'!$I$21)</f>
        <v>160</v>
      </c>
      <c r="K32" s="74">
        <f>'Исходные данные'!$H$64*K$6*CHOOSE(K$2,'Исходные данные'!$I$10,'Исходные данные'!$I$11,'Исходные данные'!$I$12,'Исходные данные'!$I$13,'Исходные данные'!$I$13,'Исходные данные'!$I$15,'Исходные данные'!$I$16,'Исходные данные'!$I$17,'Исходные данные'!$I$18,'Исходные данные'!$I$19,'Исходные данные'!$I$20,'Исходные данные'!$I$21)</f>
        <v>120</v>
      </c>
      <c r="L32" s="74">
        <f>'Исходные данные'!$H$64*L$6*CHOOSE(L$2,'Исходные данные'!$I$10,'Исходные данные'!$I$11,'Исходные данные'!$I$12,'Исходные данные'!$I$13,'Исходные данные'!$I$13,'Исходные данные'!$I$15,'Исходные данные'!$I$16,'Исходные данные'!$I$17,'Исходные данные'!$I$18,'Исходные данные'!$I$19,'Исходные данные'!$I$20,'Исходные данные'!$I$21)</f>
        <v>120</v>
      </c>
      <c r="M32" s="74">
        <f>'Исходные данные'!$H$64*M$6*CHOOSE(M$2,'Исходные данные'!$I$10,'Исходные данные'!$I$11,'Исходные данные'!$I$12,'Исходные данные'!$I$13,'Исходные данные'!$I$13,'Исходные данные'!$I$15,'Исходные данные'!$I$16,'Исходные данные'!$I$17,'Исходные данные'!$I$18,'Исходные данные'!$I$19,'Исходные данные'!$I$20,'Исходные данные'!$I$21)</f>
        <v>80</v>
      </c>
      <c r="N32" s="74">
        <f>'Исходные данные'!$H$64*N$6*CHOOSE(N$2,'Исходные данные'!$I$10,'Исходные данные'!$I$11,'Исходные данные'!$I$12,'Исходные данные'!$I$13,'Исходные данные'!$I$13,'Исходные данные'!$I$15,'Исходные данные'!$I$16,'Исходные данные'!$I$17,'Исходные данные'!$I$18,'Исходные данные'!$I$19,'Исходные данные'!$I$20,'Исходные данные'!$I$21)</f>
        <v>80</v>
      </c>
      <c r="O32" s="75">
        <f t="shared" ref="O32" si="37">SUM(C32:N32)</f>
        <v>1326</v>
      </c>
      <c r="P32" s="75">
        <f t="shared" ref="P32" si="38">O32/12</f>
        <v>110.5</v>
      </c>
      <c r="Q32" s="74">
        <f>'Исходные данные'!$H$64*Q$6*CHOOSE(Q$2,'Исходные данные'!$I$10,'Исходные данные'!$I$11,'Исходные данные'!$I$12,'Исходные данные'!$I$13,'Исходные данные'!$I$13,'Исходные данные'!$I$15,'Исходные данные'!$I$16,'Исходные данные'!$I$17,'Исходные данные'!$I$18,'Исходные данные'!$I$19,'Исходные данные'!$I$20,'Исходные данные'!$I$21)</f>
        <v>96</v>
      </c>
      <c r="R32" s="74">
        <f>'Исходные данные'!$H$64*R$6*CHOOSE(R$2,'Исходные данные'!$I$10,'Исходные данные'!$I$11,'Исходные данные'!$I$12,'Исходные данные'!$I$13,'Исходные данные'!$I$13,'Исходные данные'!$I$15,'Исходные данные'!$I$16,'Исходные данные'!$I$17,'Исходные данные'!$I$18,'Исходные данные'!$I$19,'Исходные данные'!$I$20,'Исходные данные'!$I$21)</f>
        <v>120</v>
      </c>
      <c r="S32" s="74">
        <f>'Исходные данные'!$H$64*S$6*CHOOSE(S$2,'Исходные данные'!$I$10,'Исходные данные'!$I$11,'Исходные данные'!$I$12,'Исходные данные'!$I$13,'Исходные данные'!$I$13,'Исходные данные'!$I$15,'Исходные данные'!$I$16,'Исходные данные'!$I$17,'Исходные данные'!$I$18,'Исходные данные'!$I$19,'Исходные данные'!$I$20,'Исходные данные'!$I$21)</f>
        <v>120</v>
      </c>
      <c r="T32" s="74">
        <f>'Исходные данные'!$H$64*T$6*CHOOSE(T$2,'Исходные данные'!$I$10,'Исходные данные'!$I$11,'Исходные данные'!$I$12,'Исходные данные'!$I$13,'Исходные данные'!$I$13,'Исходные данные'!$I$15,'Исходные данные'!$I$16,'Исходные данные'!$I$17,'Исходные данные'!$I$18,'Исходные данные'!$I$19,'Исходные данные'!$I$20,'Исходные данные'!$I$21)</f>
        <v>144</v>
      </c>
      <c r="U32" s="74">
        <f>'Исходные данные'!$H$64*U$6*CHOOSE(U$2,'Исходные данные'!$I$10,'Исходные данные'!$I$11,'Исходные данные'!$I$12,'Исходные данные'!$I$13,'Исходные данные'!$I$13,'Исходные данные'!$I$15,'Исходные данные'!$I$16,'Исходные данные'!$I$17,'Исходные данные'!$I$18,'Исходные данные'!$I$19,'Исходные данные'!$I$20,'Исходные данные'!$I$21)</f>
        <v>144</v>
      </c>
      <c r="V32" s="74">
        <f>'Исходные данные'!$H$64*V$6*CHOOSE(V$2,'Исходные данные'!$I$10,'Исходные данные'!$I$11,'Исходные данные'!$I$12,'Исходные данные'!$I$13,'Исходные данные'!$I$13,'Исходные данные'!$I$15,'Исходные данные'!$I$16,'Исходные данные'!$I$17,'Исходные данные'!$I$18,'Исходные данные'!$I$19,'Исходные данные'!$I$20,'Исходные данные'!$I$21)</f>
        <v>168</v>
      </c>
      <c r="W32" s="74">
        <f>'Исходные данные'!$H$64*W$6*CHOOSE(W$2,'Исходные данные'!$I$10,'Исходные данные'!$I$11,'Исходные данные'!$I$12,'Исходные данные'!$I$13,'Исходные данные'!$I$13,'Исходные данные'!$I$15,'Исходные данные'!$I$16,'Исходные данные'!$I$17,'Исходные данные'!$I$18,'Исходные данные'!$I$19,'Исходные данные'!$I$20,'Исходные данные'!$I$21)</f>
        <v>192</v>
      </c>
      <c r="X32" s="74">
        <f>'Исходные данные'!$H$64*X$6*CHOOSE(X$2,'Исходные данные'!$I$10,'Исходные данные'!$I$11,'Исходные данные'!$I$12,'Исходные данные'!$I$13,'Исходные данные'!$I$13,'Исходные данные'!$I$15,'Исходные данные'!$I$16,'Исходные данные'!$I$17,'Исходные данные'!$I$18,'Исходные данные'!$I$19,'Исходные данные'!$I$20,'Исходные данные'!$I$21)</f>
        <v>192</v>
      </c>
      <c r="Y32" s="74">
        <f>'Исходные данные'!$H$64*Y$6*CHOOSE(Y$2,'Исходные данные'!$I$10,'Исходные данные'!$I$11,'Исходные данные'!$I$12,'Исходные данные'!$I$13,'Исходные данные'!$I$13,'Исходные данные'!$I$15,'Исходные данные'!$I$16,'Исходные данные'!$I$17,'Исходные данные'!$I$18,'Исходные данные'!$I$19,'Исходные данные'!$I$20,'Исходные данные'!$I$21)</f>
        <v>144</v>
      </c>
      <c r="Z32" s="74">
        <f>'Исходные данные'!$H$64*Z$6*CHOOSE(Z$2,'Исходные данные'!$I$10,'Исходные данные'!$I$11,'Исходные данные'!$I$12,'Исходные данные'!$I$13,'Исходные данные'!$I$13,'Исходные данные'!$I$15,'Исходные данные'!$I$16,'Исходные данные'!$I$17,'Исходные данные'!$I$18,'Исходные данные'!$I$19,'Исходные данные'!$I$20,'Исходные данные'!$I$21)</f>
        <v>144</v>
      </c>
      <c r="AA32" s="74">
        <f>'Исходные данные'!$H$64*AA$6*CHOOSE(AA$2,'Исходные данные'!$I$10,'Исходные данные'!$I$11,'Исходные данные'!$I$12,'Исходные данные'!$I$13,'Исходные данные'!$I$13,'Исходные данные'!$I$15,'Исходные данные'!$I$16,'Исходные данные'!$I$17,'Исходные данные'!$I$18,'Исходные данные'!$I$19,'Исходные данные'!$I$20,'Исходные данные'!$I$21)</f>
        <v>96</v>
      </c>
      <c r="AB32" s="74">
        <f>'Исходные данные'!$H$64*AB$6*CHOOSE(AB$2,'Исходные данные'!$I$10,'Исходные данные'!$I$11,'Исходные данные'!$I$12,'Исходные данные'!$I$13,'Исходные данные'!$I$13,'Исходные данные'!$I$15,'Исходные данные'!$I$16,'Исходные данные'!$I$17,'Исходные данные'!$I$18,'Исходные данные'!$I$19,'Исходные данные'!$I$20,'Исходные данные'!$I$21)</f>
        <v>96</v>
      </c>
      <c r="AC32" s="75">
        <f t="shared" ref="AC32" si="39">SUM(Q32:AB32)</f>
        <v>1656</v>
      </c>
      <c r="AD32" s="75">
        <f t="shared" ref="AD32" si="40">AC32/12</f>
        <v>138</v>
      </c>
      <c r="AE32" s="74">
        <f>'Исходные данные'!$H$64*AE$6*CHOOSE(AE$2,'Исходные данные'!$I$10,'Исходные данные'!$I$11,'Исходные данные'!$I$12,'Исходные данные'!$I$13,'Исходные данные'!$I$13,'Исходные данные'!$I$15,'Исходные данные'!$I$16,'Исходные данные'!$I$17,'Исходные данные'!$I$18,'Исходные данные'!$I$19,'Исходные данные'!$I$20,'Исходные данные'!$I$21)</f>
        <v>112</v>
      </c>
      <c r="AF32" s="74">
        <f>'Исходные данные'!$H$64*AF$6*CHOOSE(AF$2,'Исходные данные'!$I$10,'Исходные данные'!$I$11,'Исходные данные'!$I$12,'Исходные данные'!$I$13,'Исходные данные'!$I$13,'Исходные данные'!$I$15,'Исходные данные'!$I$16,'Исходные данные'!$I$17,'Исходные данные'!$I$18,'Исходные данные'!$I$19,'Исходные данные'!$I$20,'Исходные данные'!$I$21)</f>
        <v>140</v>
      </c>
      <c r="AG32" s="74">
        <f>'Исходные данные'!$H$64*AG$6*CHOOSE(AG$2,'Исходные данные'!$I$10,'Исходные данные'!$I$11,'Исходные данные'!$I$12,'Исходные данные'!$I$13,'Исходные данные'!$I$13,'Исходные данные'!$I$15,'Исходные данные'!$I$16,'Исходные данные'!$I$17,'Исходные данные'!$I$18,'Исходные данные'!$I$19,'Исходные данные'!$I$20,'Исходные данные'!$I$21)</f>
        <v>140</v>
      </c>
      <c r="AH32" s="74">
        <f>'Исходные данные'!$H$64*AH$6*CHOOSE(AH$2,'Исходные данные'!$I$10,'Исходные данные'!$I$11,'Исходные данные'!$I$12,'Исходные данные'!$I$13,'Исходные данные'!$I$13,'Исходные данные'!$I$15,'Исходные данные'!$I$16,'Исходные данные'!$I$17,'Исходные данные'!$I$18,'Исходные данные'!$I$19,'Исходные данные'!$I$20,'Исходные данные'!$I$21)</f>
        <v>168</v>
      </c>
      <c r="AI32" s="74">
        <f>'Исходные данные'!$H$64*AI$6*CHOOSE(AI$2,'Исходные данные'!$I$10,'Исходные данные'!$I$11,'Исходные данные'!$I$12,'Исходные данные'!$I$13,'Исходные данные'!$I$13,'Исходные данные'!$I$15,'Исходные данные'!$I$16,'Исходные данные'!$I$17,'Исходные данные'!$I$18,'Исходные данные'!$I$19,'Исходные данные'!$I$20,'Исходные данные'!$I$21)</f>
        <v>168</v>
      </c>
      <c r="AJ32" s="74">
        <f>'Исходные данные'!$H$64*AJ$6*CHOOSE(AJ$2,'Исходные данные'!$I$10,'Исходные данные'!$I$11,'Исходные данные'!$I$12,'Исходные данные'!$I$13,'Исходные данные'!$I$13,'Исходные данные'!$I$15,'Исходные данные'!$I$16,'Исходные данные'!$I$17,'Исходные данные'!$I$18,'Исходные данные'!$I$19,'Исходные данные'!$I$20,'Исходные данные'!$I$21)</f>
        <v>196</v>
      </c>
      <c r="AK32" s="74">
        <f>'Исходные данные'!$H$64*AK$6*CHOOSE(AK$2,'Исходные данные'!$I$10,'Исходные данные'!$I$11,'Исходные данные'!$I$12,'Исходные данные'!$I$13,'Исходные данные'!$I$13,'Исходные данные'!$I$15,'Исходные данные'!$I$16,'Исходные данные'!$I$17,'Исходные данные'!$I$18,'Исходные данные'!$I$19,'Исходные данные'!$I$20,'Исходные данные'!$I$21)</f>
        <v>224</v>
      </c>
      <c r="AL32" s="74">
        <f>'Исходные данные'!$H$64*AL$6*CHOOSE(AL$2,'Исходные данные'!$I$10,'Исходные данные'!$I$11,'Исходные данные'!$I$12,'Исходные данные'!$I$13,'Исходные данные'!$I$13,'Исходные данные'!$I$15,'Исходные данные'!$I$16,'Исходные данные'!$I$17,'Исходные данные'!$I$18,'Исходные данные'!$I$19,'Исходные данные'!$I$20,'Исходные данные'!$I$21)</f>
        <v>224</v>
      </c>
      <c r="AM32" s="74">
        <f>'Исходные данные'!$H$64*AM$6*CHOOSE(AM$2,'Исходные данные'!$I$10,'Исходные данные'!$I$11,'Исходные данные'!$I$12,'Исходные данные'!$I$13,'Исходные данные'!$I$13,'Исходные данные'!$I$15,'Исходные данные'!$I$16,'Исходные данные'!$I$17,'Исходные данные'!$I$18,'Исходные данные'!$I$19,'Исходные данные'!$I$20,'Исходные данные'!$I$21)</f>
        <v>168</v>
      </c>
      <c r="AN32" s="74">
        <f>'Исходные данные'!$H$64*AN$6*CHOOSE(AN$2,'Исходные данные'!$I$10,'Исходные данные'!$I$11,'Исходные данные'!$I$12,'Исходные данные'!$I$13,'Исходные данные'!$I$13,'Исходные данные'!$I$15,'Исходные данные'!$I$16,'Исходные данные'!$I$17,'Исходные данные'!$I$18,'Исходные данные'!$I$19,'Исходные данные'!$I$20,'Исходные данные'!$I$21)</f>
        <v>168</v>
      </c>
      <c r="AO32" s="74">
        <f>'Исходные данные'!$H$64*AO$6*CHOOSE(AO$2,'Исходные данные'!$I$10,'Исходные данные'!$I$11,'Исходные данные'!$I$12,'Исходные данные'!$I$13,'Исходные данные'!$I$13,'Исходные данные'!$I$15,'Исходные данные'!$I$16,'Исходные данные'!$I$17,'Исходные данные'!$I$18,'Исходные данные'!$I$19,'Исходные данные'!$I$20,'Исходные данные'!$I$21)</f>
        <v>112</v>
      </c>
      <c r="AP32" s="74">
        <f>'Исходные данные'!$H$64*AP$6*CHOOSE(AP$2,'Исходные данные'!$I$10,'Исходные данные'!$I$11,'Исходные данные'!$I$12,'Исходные данные'!$I$13,'Исходные данные'!$I$13,'Исходные данные'!$I$15,'Исходные данные'!$I$16,'Исходные данные'!$I$17,'Исходные данные'!$I$18,'Исходные данные'!$I$19,'Исходные данные'!$I$20,'Исходные данные'!$I$21)</f>
        <v>112</v>
      </c>
      <c r="AQ32" s="75">
        <f t="shared" ref="AQ32" si="41">SUM(AE32:AP32)</f>
        <v>1932</v>
      </c>
      <c r="AR32" s="75">
        <f t="shared" ref="AR32" si="42">AQ32/12</f>
        <v>161</v>
      </c>
      <c r="AS32" s="76">
        <f t="shared" ref="AS32" si="43">O32+AC32+AQ32</f>
        <v>4914</v>
      </c>
      <c r="AT32" s="77"/>
    </row>
    <row r="33" spans="1:46" s="78" customFormat="1" ht="10.5" x14ac:dyDescent="0.35">
      <c r="A33" s="92" t="str">
        <f>'Обобщенный расчет'!B27</f>
        <v>Аренда</v>
      </c>
      <c r="B33" s="80" t="str">
        <f>CHOOSE('Исходные данные'!$N$2,'Исходные данные'!$O$2,'Исходные данные'!$O$3,'Исходные данные'!$O$4,'Исходные данные'!$O$5)</f>
        <v>USD</v>
      </c>
      <c r="C33" s="81">
        <f>'Исходные данные'!$H$65*C7</f>
        <v>111.11111111111111</v>
      </c>
      <c r="D33" s="81">
        <f>'Исходные данные'!$H$65*D7</f>
        <v>111.11111111111111</v>
      </c>
      <c r="E33" s="81">
        <f>'Исходные данные'!$H$65*E7</f>
        <v>111.11111111111111</v>
      </c>
      <c r="F33" s="81">
        <f>'Исходные данные'!$H$65*F7</f>
        <v>111.11111111111111</v>
      </c>
      <c r="G33" s="81">
        <f>'Исходные данные'!$H$65*G7</f>
        <v>111.11111111111111</v>
      </c>
      <c r="H33" s="81">
        <f>'Исходные данные'!$H$65*H7</f>
        <v>111.11111111111111</v>
      </c>
      <c r="I33" s="81">
        <f>'Исходные данные'!$H$65*I7</f>
        <v>111.11111111111111</v>
      </c>
      <c r="J33" s="81">
        <f>'Исходные данные'!$H$65*J7</f>
        <v>111.11111111111111</v>
      </c>
      <c r="K33" s="81">
        <f>'Исходные данные'!$H$65*K7</f>
        <v>111.11111111111111</v>
      </c>
      <c r="L33" s="81">
        <f>'Исходные данные'!$H$65*L7</f>
        <v>111.11111111111111</v>
      </c>
      <c r="M33" s="81">
        <f>'Исходные данные'!$H$65*M7</f>
        <v>111.11111111111111</v>
      </c>
      <c r="N33" s="81">
        <f>'Исходные данные'!$H$65*N7</f>
        <v>111.11111111111111</v>
      </c>
      <c r="O33" s="82">
        <f t="shared" si="30"/>
        <v>1333.3333333333333</v>
      </c>
      <c r="P33" s="82">
        <f t="shared" si="31"/>
        <v>111.1111111111111</v>
      </c>
      <c r="Q33" s="81">
        <f>'Исходные данные'!$H$65*Q7</f>
        <v>111.11111111111111</v>
      </c>
      <c r="R33" s="81">
        <f>'Исходные данные'!$H$65*R7</f>
        <v>111.11111111111111</v>
      </c>
      <c r="S33" s="81">
        <f>'Исходные данные'!$H$65*S7</f>
        <v>111.11111111111111</v>
      </c>
      <c r="T33" s="81">
        <f>'Исходные данные'!$H$65*T7</f>
        <v>111.11111111111111</v>
      </c>
      <c r="U33" s="81">
        <f>'Исходные данные'!$H$65*U7</f>
        <v>111.11111111111111</v>
      </c>
      <c r="V33" s="81">
        <f>'Исходные данные'!$H$65*V7</f>
        <v>111.11111111111111</v>
      </c>
      <c r="W33" s="81">
        <f>'Исходные данные'!$H$65*W7</f>
        <v>111.11111111111111</v>
      </c>
      <c r="X33" s="81">
        <f>'Исходные данные'!$H$65*X7</f>
        <v>111.11111111111111</v>
      </c>
      <c r="Y33" s="81">
        <f>'Исходные данные'!$H$65*Y7</f>
        <v>111.11111111111111</v>
      </c>
      <c r="Z33" s="81">
        <f>'Исходные данные'!$H$65*Z7</f>
        <v>111.11111111111111</v>
      </c>
      <c r="AA33" s="81">
        <f>'Исходные данные'!$H$65*AA7</f>
        <v>111.11111111111111</v>
      </c>
      <c r="AB33" s="81">
        <f>'Исходные данные'!$H$65*AB7</f>
        <v>111.11111111111111</v>
      </c>
      <c r="AC33" s="82">
        <f t="shared" si="32"/>
        <v>1333.3333333333333</v>
      </c>
      <c r="AD33" s="82">
        <f t="shared" si="33"/>
        <v>111.1111111111111</v>
      </c>
      <c r="AE33" s="81">
        <f>'Исходные данные'!$H$65*AE7</f>
        <v>111.11111111111111</v>
      </c>
      <c r="AF33" s="81">
        <f>'Исходные данные'!$H$65*AF7</f>
        <v>111.11111111111111</v>
      </c>
      <c r="AG33" s="81">
        <f>'Исходные данные'!$H$65*AG7</f>
        <v>111.11111111111111</v>
      </c>
      <c r="AH33" s="81">
        <f>'Исходные данные'!$H$65*AH7</f>
        <v>111.11111111111111</v>
      </c>
      <c r="AI33" s="81">
        <f>'Исходные данные'!$H$65*AI7</f>
        <v>111.11111111111111</v>
      </c>
      <c r="AJ33" s="81">
        <f>'Исходные данные'!$H$65*AJ7</f>
        <v>111.11111111111111</v>
      </c>
      <c r="AK33" s="81">
        <f>'Исходные данные'!$H$65*AK7</f>
        <v>111.11111111111111</v>
      </c>
      <c r="AL33" s="81">
        <f>'Исходные данные'!$H$65*AL7</f>
        <v>111.11111111111111</v>
      </c>
      <c r="AM33" s="81">
        <f>'Исходные данные'!$H$65*AM7</f>
        <v>111.11111111111111</v>
      </c>
      <c r="AN33" s="81">
        <f>'Исходные данные'!$H$65*AN7</f>
        <v>111.11111111111111</v>
      </c>
      <c r="AO33" s="81">
        <f>'Исходные данные'!$H$65*AO7</f>
        <v>111.11111111111111</v>
      </c>
      <c r="AP33" s="81">
        <f>'Исходные данные'!$H$65*AP7</f>
        <v>111.11111111111111</v>
      </c>
      <c r="AQ33" s="82">
        <f t="shared" si="34"/>
        <v>1333.3333333333333</v>
      </c>
      <c r="AR33" s="82">
        <f t="shared" si="35"/>
        <v>111.1111111111111</v>
      </c>
      <c r="AS33" s="76">
        <f t="shared" si="36"/>
        <v>4000</v>
      </c>
      <c r="AT33" s="77"/>
    </row>
    <row r="34" spans="1:46" s="78" customFormat="1" ht="10.5" x14ac:dyDescent="0.35">
      <c r="A34" s="93" t="str">
        <f>'Обобщенный расчет'!B28</f>
        <v>Коммунальные платежи</v>
      </c>
      <c r="B34" s="73" t="str">
        <f>CHOOSE('Исходные данные'!$N$2,'Исходные данные'!$O$2,'Исходные данные'!$O$3,'Исходные данные'!$O$4,'Исходные данные'!$O$5)</f>
        <v>USD</v>
      </c>
      <c r="C34" s="74">
        <f>'Исходные данные'!$H$66*C8</f>
        <v>0</v>
      </c>
      <c r="D34" s="74">
        <f>'Исходные данные'!$H$66*D8</f>
        <v>0</v>
      </c>
      <c r="E34" s="74">
        <f>'Исходные данные'!$H$66*E8</f>
        <v>0</v>
      </c>
      <c r="F34" s="74">
        <f>'Исходные данные'!$H$66*F8</f>
        <v>0</v>
      </c>
      <c r="G34" s="74">
        <f>'Исходные данные'!$H$66*G8</f>
        <v>0</v>
      </c>
      <c r="H34" s="74">
        <f>'Исходные данные'!$H$66*H8</f>
        <v>0</v>
      </c>
      <c r="I34" s="74">
        <f>'Исходные данные'!$H$66*I8</f>
        <v>0</v>
      </c>
      <c r="J34" s="74">
        <f>'Исходные данные'!$H$66*J8</f>
        <v>0</v>
      </c>
      <c r="K34" s="74">
        <f>'Исходные данные'!$H$66*K8</f>
        <v>0</v>
      </c>
      <c r="L34" s="74">
        <f>'Исходные данные'!$H$66*L8</f>
        <v>0</v>
      </c>
      <c r="M34" s="74">
        <f>'Исходные данные'!$H$66*M8</f>
        <v>0</v>
      </c>
      <c r="N34" s="74">
        <f>'Исходные данные'!$H$66*N8</f>
        <v>0</v>
      </c>
      <c r="O34" s="75">
        <f t="shared" si="30"/>
        <v>0</v>
      </c>
      <c r="P34" s="75">
        <f t="shared" si="31"/>
        <v>0</v>
      </c>
      <c r="Q34" s="74">
        <f>'Исходные данные'!$H$66*Q8</f>
        <v>0</v>
      </c>
      <c r="R34" s="74">
        <f>'Исходные данные'!$H$66*R8</f>
        <v>0</v>
      </c>
      <c r="S34" s="74">
        <f>'Исходные данные'!$H$66*S8</f>
        <v>0</v>
      </c>
      <c r="T34" s="74">
        <f>'Исходные данные'!$H$66*T8</f>
        <v>0</v>
      </c>
      <c r="U34" s="74">
        <f>'Исходные данные'!$H$66*U8</f>
        <v>0</v>
      </c>
      <c r="V34" s="74">
        <f>'Исходные данные'!$H$66*V8</f>
        <v>0</v>
      </c>
      <c r="W34" s="74">
        <f>'Исходные данные'!$H$66*W8</f>
        <v>0</v>
      </c>
      <c r="X34" s="74">
        <f>'Исходные данные'!$H$66*X8</f>
        <v>0</v>
      </c>
      <c r="Y34" s="74">
        <f>'Исходные данные'!$H$66*Y8</f>
        <v>0</v>
      </c>
      <c r="Z34" s="74">
        <f>'Исходные данные'!$H$66*Z8</f>
        <v>0</v>
      </c>
      <c r="AA34" s="74">
        <f>'Исходные данные'!$H$66*AA8</f>
        <v>0</v>
      </c>
      <c r="AB34" s="74">
        <f>'Исходные данные'!$H$66*AB8</f>
        <v>0</v>
      </c>
      <c r="AC34" s="75">
        <f t="shared" si="32"/>
        <v>0</v>
      </c>
      <c r="AD34" s="75">
        <f t="shared" si="33"/>
        <v>0</v>
      </c>
      <c r="AE34" s="74">
        <f>'Исходные данные'!$H$66*AE8</f>
        <v>0</v>
      </c>
      <c r="AF34" s="74">
        <f>'Исходные данные'!$H$66*AF8</f>
        <v>0</v>
      </c>
      <c r="AG34" s="74">
        <f>'Исходные данные'!$H$66*AG8</f>
        <v>0</v>
      </c>
      <c r="AH34" s="74">
        <f>'Исходные данные'!$H$66*AH8</f>
        <v>0</v>
      </c>
      <c r="AI34" s="74">
        <f>'Исходные данные'!$H$66*AI8</f>
        <v>0</v>
      </c>
      <c r="AJ34" s="74">
        <f>'Исходные данные'!$H$66*AJ8</f>
        <v>0</v>
      </c>
      <c r="AK34" s="74">
        <f>'Исходные данные'!$H$66*AK8</f>
        <v>0</v>
      </c>
      <c r="AL34" s="74">
        <f>'Исходные данные'!$H$66*AL8</f>
        <v>0</v>
      </c>
      <c r="AM34" s="74">
        <f>'Исходные данные'!$H$66*AM8</f>
        <v>0</v>
      </c>
      <c r="AN34" s="74">
        <f>'Исходные данные'!$H$66*AN8</f>
        <v>0</v>
      </c>
      <c r="AO34" s="74">
        <f>'Исходные данные'!$H$66*AO8</f>
        <v>0</v>
      </c>
      <c r="AP34" s="74">
        <f>'Исходные данные'!$H$66*AP8</f>
        <v>0</v>
      </c>
      <c r="AQ34" s="75">
        <f t="shared" si="34"/>
        <v>0</v>
      </c>
      <c r="AR34" s="75">
        <f t="shared" si="35"/>
        <v>0</v>
      </c>
      <c r="AS34" s="76">
        <f t="shared" si="36"/>
        <v>0</v>
      </c>
      <c r="AT34" s="77"/>
    </row>
    <row r="35" spans="1:46" s="78" customFormat="1" ht="10.5" x14ac:dyDescent="0.35">
      <c r="A35" s="92" t="str">
        <f>'Обобщенный расчет'!B29</f>
        <v>Хозяйственные нужды</v>
      </c>
      <c r="B35" s="80" t="str">
        <f>CHOOSE('Исходные данные'!$N$2,'Исходные данные'!$O$2,'Исходные данные'!$O$3,'Исходные данные'!$O$4,'Исходные данные'!$O$5)</f>
        <v>USD</v>
      </c>
      <c r="C35" s="81">
        <f>'Исходные данные'!$H$67</f>
        <v>0</v>
      </c>
      <c r="D35" s="81">
        <f>'Исходные данные'!$H$67</f>
        <v>0</v>
      </c>
      <c r="E35" s="81">
        <f>'Исходные данные'!$H$67</f>
        <v>0</v>
      </c>
      <c r="F35" s="81">
        <f>'Исходные данные'!$H$67</f>
        <v>0</v>
      </c>
      <c r="G35" s="81">
        <f>'Исходные данные'!$H$67</f>
        <v>0</v>
      </c>
      <c r="H35" s="81">
        <f>'Исходные данные'!$H$67</f>
        <v>0</v>
      </c>
      <c r="I35" s="81">
        <f>'Исходные данные'!$H$67</f>
        <v>0</v>
      </c>
      <c r="J35" s="81">
        <f>'Исходные данные'!$H$67</f>
        <v>0</v>
      </c>
      <c r="K35" s="81">
        <f>'Исходные данные'!$H$67</f>
        <v>0</v>
      </c>
      <c r="L35" s="81">
        <f>'Исходные данные'!$H$67</f>
        <v>0</v>
      </c>
      <c r="M35" s="81">
        <f>'Исходные данные'!$H$67</f>
        <v>0</v>
      </c>
      <c r="N35" s="81">
        <f>'Исходные данные'!$H$67</f>
        <v>0</v>
      </c>
      <c r="O35" s="82">
        <f t="shared" si="30"/>
        <v>0</v>
      </c>
      <c r="P35" s="82">
        <f t="shared" si="31"/>
        <v>0</v>
      </c>
      <c r="Q35" s="81">
        <f>'Исходные данные'!$H$67</f>
        <v>0</v>
      </c>
      <c r="R35" s="81">
        <f>'Исходные данные'!$H$67</f>
        <v>0</v>
      </c>
      <c r="S35" s="81">
        <f>'Исходные данные'!$H$67</f>
        <v>0</v>
      </c>
      <c r="T35" s="81">
        <f>'Исходные данные'!$H$67</f>
        <v>0</v>
      </c>
      <c r="U35" s="81">
        <f>'Исходные данные'!$H$67</f>
        <v>0</v>
      </c>
      <c r="V35" s="81">
        <f>'Исходные данные'!$H$67</f>
        <v>0</v>
      </c>
      <c r="W35" s="81">
        <f>'Исходные данные'!$H$67</f>
        <v>0</v>
      </c>
      <c r="X35" s="81">
        <f>'Исходные данные'!$H$67</f>
        <v>0</v>
      </c>
      <c r="Y35" s="81">
        <f>'Исходные данные'!$H$67</f>
        <v>0</v>
      </c>
      <c r="Z35" s="81">
        <f>'Исходные данные'!$H$67</f>
        <v>0</v>
      </c>
      <c r="AA35" s="81">
        <f>'Исходные данные'!$H$67</f>
        <v>0</v>
      </c>
      <c r="AB35" s="81">
        <f>'Исходные данные'!$H$67</f>
        <v>0</v>
      </c>
      <c r="AC35" s="82">
        <f t="shared" si="32"/>
        <v>0</v>
      </c>
      <c r="AD35" s="82">
        <f t="shared" si="33"/>
        <v>0</v>
      </c>
      <c r="AE35" s="81">
        <f>'Исходные данные'!$H$67</f>
        <v>0</v>
      </c>
      <c r="AF35" s="81">
        <f>'Исходные данные'!$H$67</f>
        <v>0</v>
      </c>
      <c r="AG35" s="81">
        <f>'Исходные данные'!$H$67</f>
        <v>0</v>
      </c>
      <c r="AH35" s="81">
        <f>'Исходные данные'!$H$67</f>
        <v>0</v>
      </c>
      <c r="AI35" s="81">
        <f>'Исходные данные'!$H$67</f>
        <v>0</v>
      </c>
      <c r="AJ35" s="81">
        <f>'Исходные данные'!$H$67</f>
        <v>0</v>
      </c>
      <c r="AK35" s="81">
        <f>'Исходные данные'!$H$67</f>
        <v>0</v>
      </c>
      <c r="AL35" s="81">
        <f>'Исходные данные'!$H$67</f>
        <v>0</v>
      </c>
      <c r="AM35" s="81">
        <f>'Исходные данные'!$H$67</f>
        <v>0</v>
      </c>
      <c r="AN35" s="81">
        <f>'Исходные данные'!$H$67</f>
        <v>0</v>
      </c>
      <c r="AO35" s="81">
        <f>'Исходные данные'!$H$67</f>
        <v>0</v>
      </c>
      <c r="AP35" s="81">
        <f>'Исходные данные'!$H$67</f>
        <v>0</v>
      </c>
      <c r="AQ35" s="82">
        <f t="shared" si="34"/>
        <v>0</v>
      </c>
      <c r="AR35" s="82">
        <f t="shared" si="35"/>
        <v>0</v>
      </c>
      <c r="AS35" s="76">
        <f t="shared" si="36"/>
        <v>0</v>
      </c>
      <c r="AT35" s="77"/>
    </row>
    <row r="36" spans="1:46" s="78" customFormat="1" ht="10.5" x14ac:dyDescent="0.35">
      <c r="A36" s="93" t="str">
        <f>'Обобщенный расчет'!B30</f>
        <v>Сервисное обслуживание техники и оборудования</v>
      </c>
      <c r="B36" s="73" t="str">
        <f>CHOOSE('Исходные данные'!$N$2,'Исходные данные'!$O$2,'Исходные данные'!$O$3,'Исходные данные'!$O$4,'Исходные данные'!$O$5)</f>
        <v>USD</v>
      </c>
      <c r="C36" s="74">
        <v>0</v>
      </c>
      <c r="D36" s="74">
        <v>0</v>
      </c>
      <c r="E36" s="74">
        <v>0</v>
      </c>
      <c r="F36" s="74">
        <v>0</v>
      </c>
      <c r="G36" s="74">
        <v>0</v>
      </c>
      <c r="H36" s="74">
        <v>0</v>
      </c>
      <c r="I36" s="74">
        <v>0</v>
      </c>
      <c r="J36" s="74">
        <v>0</v>
      </c>
      <c r="K36" s="74">
        <v>0</v>
      </c>
      <c r="L36" s="74">
        <v>0</v>
      </c>
      <c r="M36" s="74">
        <v>0</v>
      </c>
      <c r="N36" s="74">
        <v>0</v>
      </c>
      <c r="O36" s="75">
        <f t="shared" ref="O36" si="44">SUM(C36:N36)</f>
        <v>0</v>
      </c>
      <c r="P36" s="75">
        <f t="shared" ref="P36" si="45">O36/12</f>
        <v>0</v>
      </c>
      <c r="Q36" s="74">
        <f>'Исходные данные'!$H$68</f>
        <v>0</v>
      </c>
      <c r="R36" s="74">
        <v>0</v>
      </c>
      <c r="S36" s="74">
        <v>0</v>
      </c>
      <c r="T36" s="74">
        <v>0</v>
      </c>
      <c r="U36" s="74">
        <v>0</v>
      </c>
      <c r="V36" s="74">
        <v>0</v>
      </c>
      <c r="W36" s="74">
        <v>0</v>
      </c>
      <c r="X36" s="74">
        <v>0</v>
      </c>
      <c r="Y36" s="74">
        <v>0</v>
      </c>
      <c r="Z36" s="74">
        <v>0</v>
      </c>
      <c r="AA36" s="74">
        <v>0</v>
      </c>
      <c r="AB36" s="74">
        <v>0</v>
      </c>
      <c r="AC36" s="75">
        <f t="shared" ref="AC36" si="46">SUM(Q36:AB36)</f>
        <v>0</v>
      </c>
      <c r="AD36" s="75">
        <f t="shared" ref="AD36" si="47">AC36/12</f>
        <v>0</v>
      </c>
      <c r="AE36" s="74">
        <f>'Исходные данные'!$H$68</f>
        <v>0</v>
      </c>
      <c r="AF36" s="74">
        <v>0</v>
      </c>
      <c r="AG36" s="74">
        <v>0</v>
      </c>
      <c r="AH36" s="74">
        <v>0</v>
      </c>
      <c r="AI36" s="74">
        <v>0</v>
      </c>
      <c r="AJ36" s="74">
        <v>0</v>
      </c>
      <c r="AK36" s="74">
        <v>0</v>
      </c>
      <c r="AL36" s="74">
        <v>0</v>
      </c>
      <c r="AM36" s="74">
        <v>0</v>
      </c>
      <c r="AN36" s="74">
        <v>0</v>
      </c>
      <c r="AO36" s="74">
        <v>0</v>
      </c>
      <c r="AP36" s="74">
        <v>0</v>
      </c>
      <c r="AQ36" s="75">
        <f t="shared" ref="AQ36" si="48">SUM(AE36:AP36)</f>
        <v>0</v>
      </c>
      <c r="AR36" s="75">
        <f t="shared" ref="AR36" si="49">AQ36/12</f>
        <v>0</v>
      </c>
      <c r="AS36" s="76">
        <f t="shared" ref="AS36" si="50">O36+AC36+AQ36</f>
        <v>0</v>
      </c>
      <c r="AT36" s="77"/>
    </row>
    <row r="37" spans="1:46" s="78" customFormat="1" ht="10.5" x14ac:dyDescent="0.35">
      <c r="A37" s="92" t="str">
        <f>'Обобщенный расчет'!B31</f>
        <v>Услуги связи и интернет</v>
      </c>
      <c r="B37" s="80" t="str">
        <f>CHOOSE('Исходные данные'!$N$2,'Исходные данные'!$O$2,'Исходные данные'!$O$3,'Исходные данные'!$O$4,'Исходные данные'!$O$5)</f>
        <v>USD</v>
      </c>
      <c r="C37" s="81">
        <f>'Исходные данные'!$H$69*C9</f>
        <v>5.5555555555555554</v>
      </c>
      <c r="D37" s="81">
        <f>'Исходные данные'!$H$69*D9</f>
        <v>5.5555555555555554</v>
      </c>
      <c r="E37" s="81">
        <f>'Исходные данные'!$H$69*E9</f>
        <v>5.5555555555555554</v>
      </c>
      <c r="F37" s="81">
        <f>'Исходные данные'!$H$69*F9</f>
        <v>5.5555555555555554</v>
      </c>
      <c r="G37" s="81">
        <f>'Исходные данные'!$H$69*G9</f>
        <v>5.5555555555555554</v>
      </c>
      <c r="H37" s="81">
        <f>'Исходные данные'!$H$69*H9</f>
        <v>5.5555555555555554</v>
      </c>
      <c r="I37" s="81">
        <f>'Исходные данные'!$H$69*I9</f>
        <v>5.5555555555555554</v>
      </c>
      <c r="J37" s="81">
        <f>'Исходные данные'!$H$69*J9</f>
        <v>5.5555555555555554</v>
      </c>
      <c r="K37" s="81">
        <f>'Исходные данные'!$H$69*K9</f>
        <v>5.5555555555555554</v>
      </c>
      <c r="L37" s="81">
        <f>'Исходные данные'!$H$69*L9</f>
        <v>5.5555555555555554</v>
      </c>
      <c r="M37" s="81">
        <f>'Исходные данные'!$H$69*M9</f>
        <v>5.5555555555555554</v>
      </c>
      <c r="N37" s="81">
        <f>'Исходные данные'!$H$69*N9</f>
        <v>5.5555555555555554</v>
      </c>
      <c r="O37" s="82">
        <f>SUM(C37:N37)</f>
        <v>66.666666666666671</v>
      </c>
      <c r="P37" s="82">
        <f>O37/12</f>
        <v>5.5555555555555562</v>
      </c>
      <c r="Q37" s="81">
        <f>'Исходные данные'!$H$69*Q9</f>
        <v>5.5555555555555554</v>
      </c>
      <c r="R37" s="81">
        <f>'Исходные данные'!$H$69*R9</f>
        <v>5.5555555555555554</v>
      </c>
      <c r="S37" s="81">
        <f>'Исходные данные'!$H$69*S9</f>
        <v>5.5555555555555554</v>
      </c>
      <c r="T37" s="81">
        <f>'Исходные данные'!$H$69*T9</f>
        <v>5.5555555555555554</v>
      </c>
      <c r="U37" s="81">
        <f>'Исходные данные'!$H$69*U9</f>
        <v>5.5555555555555554</v>
      </c>
      <c r="V37" s="81">
        <f>'Исходные данные'!$H$69*V9</f>
        <v>5.5555555555555554</v>
      </c>
      <c r="W37" s="81">
        <f>'Исходные данные'!$H$69*W9</f>
        <v>5.5555555555555554</v>
      </c>
      <c r="X37" s="81">
        <f>'Исходные данные'!$H$69*X9</f>
        <v>5.5555555555555554</v>
      </c>
      <c r="Y37" s="81">
        <f>'Исходные данные'!$H$69*Y9</f>
        <v>5.5555555555555554</v>
      </c>
      <c r="Z37" s="81">
        <f>'Исходные данные'!$H$69*Z9</f>
        <v>5.5555555555555554</v>
      </c>
      <c r="AA37" s="81">
        <f>'Исходные данные'!$H$69*AA9</f>
        <v>5.5555555555555554</v>
      </c>
      <c r="AB37" s="81">
        <f>'Исходные данные'!$H$69*AB9</f>
        <v>5.5555555555555554</v>
      </c>
      <c r="AC37" s="82">
        <f>SUM(Q37:AB37)</f>
        <v>66.666666666666671</v>
      </c>
      <c r="AD37" s="82">
        <f>AC37/12</f>
        <v>5.5555555555555562</v>
      </c>
      <c r="AE37" s="81">
        <f>'Исходные данные'!$H$69*AE9</f>
        <v>5.5555555555555554</v>
      </c>
      <c r="AF37" s="81">
        <f>'Исходные данные'!$H$69*AF9</f>
        <v>5.5555555555555554</v>
      </c>
      <c r="AG37" s="81">
        <f>'Исходные данные'!$H$69*AG9</f>
        <v>5.5555555555555554</v>
      </c>
      <c r="AH37" s="81">
        <f>'Исходные данные'!$H$69*AH9</f>
        <v>5.5555555555555554</v>
      </c>
      <c r="AI37" s="81">
        <f>'Исходные данные'!$H$69*AI9</f>
        <v>5.5555555555555554</v>
      </c>
      <c r="AJ37" s="81">
        <f>'Исходные данные'!$H$69*AJ9</f>
        <v>5.5555555555555554</v>
      </c>
      <c r="AK37" s="81">
        <f>'Исходные данные'!$H$69*AK9</f>
        <v>5.5555555555555554</v>
      </c>
      <c r="AL37" s="81">
        <f>'Исходные данные'!$H$69*AL9</f>
        <v>5.5555555555555554</v>
      </c>
      <c r="AM37" s="81">
        <f>'Исходные данные'!$H$69*AM9</f>
        <v>5.5555555555555554</v>
      </c>
      <c r="AN37" s="81">
        <f>'Исходные данные'!$H$69*AN9</f>
        <v>5.5555555555555554</v>
      </c>
      <c r="AO37" s="81">
        <f>'Исходные данные'!$H$69*AO9</f>
        <v>5.5555555555555554</v>
      </c>
      <c r="AP37" s="81">
        <f>'Исходные данные'!$H$69*AP9</f>
        <v>5.5555555555555554</v>
      </c>
      <c r="AQ37" s="82">
        <f>SUM(AE37:AP37)</f>
        <v>66.666666666666671</v>
      </c>
      <c r="AR37" s="82">
        <f>AQ37/12</f>
        <v>5.5555555555555562</v>
      </c>
      <c r="AS37" s="76">
        <f>O37+AC37+AQ37</f>
        <v>200</v>
      </c>
      <c r="AT37" s="77"/>
    </row>
    <row r="38" spans="1:46" s="78" customFormat="1" ht="10.5" x14ac:dyDescent="0.35">
      <c r="A38" s="93" t="str">
        <f>'Обобщенный расчет'!B32</f>
        <v>Ведение бухгалтерского учёта</v>
      </c>
      <c r="B38" s="73" t="str">
        <f>CHOOSE('Исходные данные'!$N$2,'Исходные данные'!$O$2,'Исходные данные'!$O$3,'Исходные данные'!$O$4,'Исходные данные'!$O$5)</f>
        <v>USD</v>
      </c>
      <c r="C38" s="74">
        <f>'Исходные данные'!$H$70</f>
        <v>0</v>
      </c>
      <c r="D38" s="74">
        <f>'Исходные данные'!$H$70</f>
        <v>0</v>
      </c>
      <c r="E38" s="74">
        <f>'Исходные данные'!$H$70</f>
        <v>0</v>
      </c>
      <c r="F38" s="74">
        <f>'Исходные данные'!$H$70</f>
        <v>0</v>
      </c>
      <c r="G38" s="74">
        <f>'Исходные данные'!$H$70</f>
        <v>0</v>
      </c>
      <c r="H38" s="74">
        <f>'Исходные данные'!$H$70</f>
        <v>0</v>
      </c>
      <c r="I38" s="74">
        <f>'Исходные данные'!$H$70</f>
        <v>0</v>
      </c>
      <c r="J38" s="74">
        <f>'Исходные данные'!$H$70</f>
        <v>0</v>
      </c>
      <c r="K38" s="74">
        <f>'Исходные данные'!$H$70</f>
        <v>0</v>
      </c>
      <c r="L38" s="74">
        <f>'Исходные данные'!$H$70</f>
        <v>0</v>
      </c>
      <c r="M38" s="74">
        <f>'Исходные данные'!$H$70</f>
        <v>0</v>
      </c>
      <c r="N38" s="74">
        <f>'Исходные данные'!$H$70</f>
        <v>0</v>
      </c>
      <c r="O38" s="75">
        <f>SUM(C38:N38)</f>
        <v>0</v>
      </c>
      <c r="P38" s="75">
        <f>O38/12</f>
        <v>0</v>
      </c>
      <c r="Q38" s="74">
        <f>'Исходные данные'!$H$70</f>
        <v>0</v>
      </c>
      <c r="R38" s="74">
        <f>'Исходные данные'!$H$70</f>
        <v>0</v>
      </c>
      <c r="S38" s="74">
        <f>'Исходные данные'!$H$70</f>
        <v>0</v>
      </c>
      <c r="T38" s="74">
        <f>'Исходные данные'!$H$70</f>
        <v>0</v>
      </c>
      <c r="U38" s="74">
        <f>'Исходные данные'!$H$70</f>
        <v>0</v>
      </c>
      <c r="V38" s="74">
        <f>'Исходные данные'!$H$70</f>
        <v>0</v>
      </c>
      <c r="W38" s="74">
        <f>'Исходные данные'!$H$70</f>
        <v>0</v>
      </c>
      <c r="X38" s="74">
        <f>'Исходные данные'!$H$70</f>
        <v>0</v>
      </c>
      <c r="Y38" s="74">
        <f>'Исходные данные'!$H$70</f>
        <v>0</v>
      </c>
      <c r="Z38" s="74">
        <f>'Исходные данные'!$H$70</f>
        <v>0</v>
      </c>
      <c r="AA38" s="74">
        <f>'Исходные данные'!$H$70</f>
        <v>0</v>
      </c>
      <c r="AB38" s="74">
        <f>'Исходные данные'!$H$70</f>
        <v>0</v>
      </c>
      <c r="AC38" s="75">
        <f>SUM(Q38:AB38)</f>
        <v>0</v>
      </c>
      <c r="AD38" s="75">
        <f>AC38/12</f>
        <v>0</v>
      </c>
      <c r="AE38" s="74">
        <f>'Исходные данные'!$H$70</f>
        <v>0</v>
      </c>
      <c r="AF38" s="74">
        <f>'Исходные данные'!$H$70</f>
        <v>0</v>
      </c>
      <c r="AG38" s="74">
        <f>'Исходные данные'!$H$70</f>
        <v>0</v>
      </c>
      <c r="AH38" s="74">
        <f>'Исходные данные'!$H$70</f>
        <v>0</v>
      </c>
      <c r="AI38" s="74">
        <f>'Исходные данные'!$H$70</f>
        <v>0</v>
      </c>
      <c r="AJ38" s="74">
        <f>'Исходные данные'!$H$70</f>
        <v>0</v>
      </c>
      <c r="AK38" s="74">
        <f>'Исходные данные'!$H$70</f>
        <v>0</v>
      </c>
      <c r="AL38" s="74">
        <f>'Исходные данные'!$H$70</f>
        <v>0</v>
      </c>
      <c r="AM38" s="74">
        <f>'Исходные данные'!$H$70</f>
        <v>0</v>
      </c>
      <c r="AN38" s="74">
        <f>'Исходные данные'!$H$70</f>
        <v>0</v>
      </c>
      <c r="AO38" s="74">
        <f>'Исходные данные'!$H$70</f>
        <v>0</v>
      </c>
      <c r="AP38" s="74">
        <f>'Исходные данные'!$H$70</f>
        <v>0</v>
      </c>
      <c r="AQ38" s="75">
        <f>SUM(AE38:AP38)</f>
        <v>0</v>
      </c>
      <c r="AR38" s="75">
        <f>AQ38/12</f>
        <v>0</v>
      </c>
      <c r="AS38" s="76">
        <f>O38+AC38+AQ38</f>
        <v>0</v>
      </c>
      <c r="AT38" s="77"/>
    </row>
    <row r="39" spans="1:46" s="78" customFormat="1" ht="10.5" x14ac:dyDescent="0.35">
      <c r="A39" s="92" t="str">
        <f>'Обобщенный расчет'!B33</f>
        <v>Банковское обслуживание</v>
      </c>
      <c r="B39" s="80" t="str">
        <f>CHOOSE('Исходные данные'!$N$2,'Исходные данные'!$O$2,'Исходные данные'!$O$3,'Исходные данные'!$O$4,'Исходные данные'!$O$5)</f>
        <v>USD</v>
      </c>
      <c r="C39" s="81">
        <f>C15*'Исходные данные'!$D$71*'Исходные данные'!$D$72</f>
        <v>0</v>
      </c>
      <c r="D39" s="81">
        <f>D15*'Исходные данные'!$D$71*'Исходные данные'!$D$72</f>
        <v>0</v>
      </c>
      <c r="E39" s="81">
        <f>E15*'Исходные данные'!$D$71*'Исходные данные'!$D$72</f>
        <v>0</v>
      </c>
      <c r="F39" s="81">
        <f>F15*'Исходные данные'!$D$71*'Исходные данные'!$D$72</f>
        <v>0</v>
      </c>
      <c r="G39" s="81">
        <f>G15*'Исходные данные'!$D$71*'Исходные данные'!$D$72</f>
        <v>0</v>
      </c>
      <c r="H39" s="81">
        <f>H15*'Исходные данные'!$D$71*'Исходные данные'!$D$72</f>
        <v>0</v>
      </c>
      <c r="I39" s="81">
        <f>I15*'Исходные данные'!$D$71*'Исходные данные'!$D$72</f>
        <v>0</v>
      </c>
      <c r="J39" s="81">
        <f>J15*'Исходные данные'!$D$71*'Исходные данные'!$D$72</f>
        <v>0</v>
      </c>
      <c r="K39" s="81">
        <f>K15*'Исходные данные'!$D$71*'Исходные данные'!$D$72</f>
        <v>0</v>
      </c>
      <c r="L39" s="81">
        <f>L15*'Исходные данные'!$D$71*'Исходные данные'!$D$72</f>
        <v>0</v>
      </c>
      <c r="M39" s="81">
        <f>M15*'Исходные данные'!$D$71*'Исходные данные'!$D$72</f>
        <v>0</v>
      </c>
      <c r="N39" s="81">
        <f>N15*'Исходные данные'!$D$71*'Исходные данные'!$D$72</f>
        <v>0</v>
      </c>
      <c r="O39" s="82">
        <f>SUM(C39:N39)</f>
        <v>0</v>
      </c>
      <c r="P39" s="82">
        <f t="shared" ref="P39:P41" si="51">O39/12</f>
        <v>0</v>
      </c>
      <c r="Q39" s="81">
        <f>Q15*'Исходные данные'!$D$71*'Исходные данные'!$D$72</f>
        <v>0</v>
      </c>
      <c r="R39" s="81">
        <f>R15*'Исходные данные'!$D$71*'Исходные данные'!$D$72</f>
        <v>0</v>
      </c>
      <c r="S39" s="81">
        <f>S15*'Исходные данные'!$D$71*'Исходные данные'!$D$72</f>
        <v>0</v>
      </c>
      <c r="T39" s="81">
        <f>T15*'Исходные данные'!$D$71*'Исходные данные'!$D$72</f>
        <v>0</v>
      </c>
      <c r="U39" s="81">
        <f>U15*'Исходные данные'!$D$71*'Исходные данные'!$D$72</f>
        <v>0</v>
      </c>
      <c r="V39" s="81">
        <f>V15*'Исходные данные'!$D$71*'Исходные данные'!$D$72</f>
        <v>0</v>
      </c>
      <c r="W39" s="81">
        <f>W15*'Исходные данные'!$D$71*'Исходные данные'!$D$72</f>
        <v>0</v>
      </c>
      <c r="X39" s="81">
        <f>X15*'Исходные данные'!$D$71*'Исходные данные'!$D$72</f>
        <v>0</v>
      </c>
      <c r="Y39" s="81">
        <f>Y15*'Исходные данные'!$D$71*'Исходные данные'!$D$72</f>
        <v>0</v>
      </c>
      <c r="Z39" s="81">
        <f>Z15*'Исходные данные'!$D$71*'Исходные данные'!$D$72</f>
        <v>0</v>
      </c>
      <c r="AA39" s="81">
        <f>AA15*'Исходные данные'!$D$71*'Исходные данные'!$D$72</f>
        <v>0</v>
      </c>
      <c r="AB39" s="81">
        <f>AB15*'Исходные данные'!$D$71*'Исходные данные'!$D$72</f>
        <v>0</v>
      </c>
      <c r="AC39" s="82">
        <f t="shared" ref="AC39:AC41" si="52">SUM(Q39:AB39)</f>
        <v>0</v>
      </c>
      <c r="AD39" s="82">
        <f t="shared" ref="AD39:AD41" si="53">AC39/12</f>
        <v>0</v>
      </c>
      <c r="AE39" s="81">
        <f>AE15*'Исходные данные'!$D$71*'Исходные данные'!$D$72</f>
        <v>0</v>
      </c>
      <c r="AF39" s="81">
        <f>AF15*'Исходные данные'!$D$71*'Исходные данные'!$D$72</f>
        <v>0</v>
      </c>
      <c r="AG39" s="81">
        <f>AG15*'Исходные данные'!$D$71*'Исходные данные'!$D$72</f>
        <v>0</v>
      </c>
      <c r="AH39" s="81">
        <f>AH15*'Исходные данные'!$D$71*'Исходные данные'!$D$72</f>
        <v>0</v>
      </c>
      <c r="AI39" s="81">
        <f>AI15*'Исходные данные'!$D$71*'Исходные данные'!$D$72</f>
        <v>0</v>
      </c>
      <c r="AJ39" s="81">
        <f>AJ15*'Исходные данные'!$D$71*'Исходные данные'!$D$72</f>
        <v>0</v>
      </c>
      <c r="AK39" s="81">
        <f>AK15*'Исходные данные'!$D$71*'Исходные данные'!$D$72</f>
        <v>0</v>
      </c>
      <c r="AL39" s="81">
        <f>AL15*'Исходные данные'!$D$71*'Исходные данные'!$D$72</f>
        <v>0</v>
      </c>
      <c r="AM39" s="81">
        <f>AM15*'Исходные данные'!$D$71*'Исходные данные'!$D$72</f>
        <v>0</v>
      </c>
      <c r="AN39" s="81">
        <f>AN15*'Исходные данные'!$D$71*'Исходные данные'!$D$72</f>
        <v>0</v>
      </c>
      <c r="AO39" s="81">
        <f>AO15*'Исходные данные'!$D$71*'Исходные данные'!$D$72</f>
        <v>0</v>
      </c>
      <c r="AP39" s="81">
        <f>AP15*'Исходные данные'!$D$71*'Исходные данные'!$D$72</f>
        <v>0</v>
      </c>
      <c r="AQ39" s="82">
        <f t="shared" ref="AQ39:AQ41" si="54">SUM(AE39:AP39)</f>
        <v>0</v>
      </c>
      <c r="AR39" s="82">
        <f t="shared" ref="AR39:AR41" si="55">AQ39/12</f>
        <v>0</v>
      </c>
      <c r="AS39" s="76">
        <f t="shared" ref="AS39:AS41" si="56">O39+AC39+AQ39</f>
        <v>0</v>
      </c>
      <c r="AT39" s="77"/>
    </row>
    <row r="40" spans="1:46" s="78" customFormat="1" ht="10.5" x14ac:dyDescent="0.35">
      <c r="A40" s="93" t="str">
        <f>'Обобщенный расчет'!B34</f>
        <v>Налоги на зарплату сотрудников</v>
      </c>
      <c r="B40" s="73" t="str">
        <f>CHOOSE('Исходные данные'!$N$2,'Исходные данные'!$O$2,'Исходные данные'!$O$3,'Исходные данные'!$O$4,'Исходные данные'!$O$5)</f>
        <v>USD</v>
      </c>
      <c r="C40" s="74">
        <f>'Исходные данные'!$H$73</f>
        <v>0</v>
      </c>
      <c r="D40" s="74">
        <f>'Исходные данные'!$H$73</f>
        <v>0</v>
      </c>
      <c r="E40" s="74">
        <f>'Исходные данные'!$H$73</f>
        <v>0</v>
      </c>
      <c r="F40" s="74">
        <f>'Исходные данные'!$H$73</f>
        <v>0</v>
      </c>
      <c r="G40" s="74">
        <f>'Исходные данные'!$H$73</f>
        <v>0</v>
      </c>
      <c r="H40" s="74">
        <f>'Исходные данные'!$H$73</f>
        <v>0</v>
      </c>
      <c r="I40" s="74">
        <f>'Исходные данные'!$H$73</f>
        <v>0</v>
      </c>
      <c r="J40" s="74">
        <f>'Исходные данные'!$H$73</f>
        <v>0</v>
      </c>
      <c r="K40" s="74">
        <f>'Исходные данные'!$H$73</f>
        <v>0</v>
      </c>
      <c r="L40" s="74">
        <f>'Исходные данные'!$H$73</f>
        <v>0</v>
      </c>
      <c r="M40" s="74">
        <f>'Исходные данные'!$H$73</f>
        <v>0</v>
      </c>
      <c r="N40" s="74">
        <f>'Исходные данные'!$H$73</f>
        <v>0</v>
      </c>
      <c r="O40" s="75">
        <f t="shared" ref="O40" si="57">SUM(C40:N40)</f>
        <v>0</v>
      </c>
      <c r="P40" s="75">
        <f t="shared" ref="P40" si="58">O40/12</f>
        <v>0</v>
      </c>
      <c r="Q40" s="74">
        <f>'Исходные данные'!$H$73</f>
        <v>0</v>
      </c>
      <c r="R40" s="74">
        <f>'Исходные данные'!$H$73</f>
        <v>0</v>
      </c>
      <c r="S40" s="74">
        <f>'Исходные данные'!$H$73</f>
        <v>0</v>
      </c>
      <c r="T40" s="74">
        <f>'Исходные данные'!$H$73</f>
        <v>0</v>
      </c>
      <c r="U40" s="74">
        <f>'Исходные данные'!$H$73</f>
        <v>0</v>
      </c>
      <c r="V40" s="74">
        <f>'Исходные данные'!$H$73</f>
        <v>0</v>
      </c>
      <c r="W40" s="74">
        <f>'Исходные данные'!$H$73</f>
        <v>0</v>
      </c>
      <c r="X40" s="74">
        <f>'Исходные данные'!$H$73</f>
        <v>0</v>
      </c>
      <c r="Y40" s="74">
        <f>'Исходные данные'!$H$73</f>
        <v>0</v>
      </c>
      <c r="Z40" s="74">
        <f>'Исходные данные'!$H$73</f>
        <v>0</v>
      </c>
      <c r="AA40" s="74">
        <f>'Исходные данные'!$H$73</f>
        <v>0</v>
      </c>
      <c r="AB40" s="74">
        <f>'Исходные данные'!$H$73</f>
        <v>0</v>
      </c>
      <c r="AC40" s="75">
        <f t="shared" ref="AC40" si="59">SUM(Q40:AB40)</f>
        <v>0</v>
      </c>
      <c r="AD40" s="75">
        <f t="shared" ref="AD40" si="60">AC40/12</f>
        <v>0</v>
      </c>
      <c r="AE40" s="74">
        <f>'Исходные данные'!$H$73</f>
        <v>0</v>
      </c>
      <c r="AF40" s="74">
        <f>'Исходные данные'!$H$73</f>
        <v>0</v>
      </c>
      <c r="AG40" s="74">
        <f>'Исходные данные'!$H$73</f>
        <v>0</v>
      </c>
      <c r="AH40" s="74">
        <f>'Исходные данные'!$H$73</f>
        <v>0</v>
      </c>
      <c r="AI40" s="74">
        <f>'Исходные данные'!$H$73</f>
        <v>0</v>
      </c>
      <c r="AJ40" s="74">
        <f>'Исходные данные'!$H$73</f>
        <v>0</v>
      </c>
      <c r="AK40" s="74">
        <f>'Исходные данные'!$H$73</f>
        <v>0</v>
      </c>
      <c r="AL40" s="74">
        <f>'Исходные данные'!$H$73</f>
        <v>0</v>
      </c>
      <c r="AM40" s="74">
        <f>'Исходные данные'!$H$73</f>
        <v>0</v>
      </c>
      <c r="AN40" s="74">
        <f>'Исходные данные'!$H$73</f>
        <v>0</v>
      </c>
      <c r="AO40" s="74">
        <f>'Исходные данные'!$H$73</f>
        <v>0</v>
      </c>
      <c r="AP40" s="74">
        <f>'Исходные данные'!$H$73</f>
        <v>0</v>
      </c>
      <c r="AQ40" s="75">
        <f t="shared" ref="AQ40" si="61">SUM(AE40:AP40)</f>
        <v>0</v>
      </c>
      <c r="AR40" s="75">
        <f t="shared" ref="AR40" si="62">AQ40/12</f>
        <v>0</v>
      </c>
      <c r="AS40" s="76">
        <f t="shared" ref="AS40" si="63">O40+AC40+AQ40</f>
        <v>0</v>
      </c>
      <c r="AT40" s="77"/>
    </row>
    <row r="41" spans="1:46" s="78" customFormat="1" ht="10.5" x14ac:dyDescent="0.35">
      <c r="A41" s="92" t="str">
        <f>'Обобщенный расчет'!B35</f>
        <v>Налоги</v>
      </c>
      <c r="B41" s="80" t="str">
        <f>CHOOSE('Исходные данные'!$N$2,'Исходные данные'!$O$2,'Исходные данные'!$O$3,'Исходные данные'!$O$4,'Исходные данные'!$O$5)</f>
        <v>USD</v>
      </c>
      <c r="C41" s="81">
        <f>C10*CHOOSE('Обобщенный расчет'!$L$1,'Исходные данные'!$D$74*C15,'Исходные данные'!$H$75)</f>
        <v>0</v>
      </c>
      <c r="D41" s="81">
        <f>D10*CHOOSE('Обобщенный расчет'!$L$1,'Исходные данные'!$D$74*D15,'Исходные данные'!$H$75)</f>
        <v>0</v>
      </c>
      <c r="E41" s="81">
        <f>E10*CHOOSE('Обобщенный расчет'!$L$1,'Исходные данные'!$D$74*E15,'Исходные данные'!$H$75)</f>
        <v>0</v>
      </c>
      <c r="F41" s="81">
        <f>F10*CHOOSE('Обобщенный расчет'!$L$1,'Исходные данные'!$D$74*F15,'Исходные данные'!$H$75)</f>
        <v>0</v>
      </c>
      <c r="G41" s="81">
        <f>G10*CHOOSE('Обобщенный расчет'!$L$1,'Исходные данные'!$D$74*G15,'Исходные данные'!$H$75)</f>
        <v>0</v>
      </c>
      <c r="H41" s="81">
        <f>H10*CHOOSE('Обобщенный расчет'!$L$1,'Исходные данные'!$D$74*H15,'Исходные данные'!$H$75)</f>
        <v>0</v>
      </c>
      <c r="I41" s="81">
        <f>I10*CHOOSE('Обобщенный расчет'!$L$1,'Исходные данные'!$D$74*I15,'Исходные данные'!$H$75)</f>
        <v>0</v>
      </c>
      <c r="J41" s="81">
        <f>J10*CHOOSE('Обобщенный расчет'!$L$1,'Исходные данные'!$D$74*J15,'Исходные данные'!$H$75)</f>
        <v>0</v>
      </c>
      <c r="K41" s="81">
        <f>K10*CHOOSE('Обобщенный расчет'!$L$1,'Исходные данные'!$D$74*K15,'Исходные данные'!$H$75)</f>
        <v>0</v>
      </c>
      <c r="L41" s="81">
        <f>L10*CHOOSE('Обобщенный расчет'!$L$1,'Исходные данные'!$D$74*L15,'Исходные данные'!$H$75)</f>
        <v>0</v>
      </c>
      <c r="M41" s="81">
        <f>M10*CHOOSE('Обобщенный расчет'!$L$1,'Исходные данные'!$D$74*M15,'Исходные данные'!$H$75)</f>
        <v>0</v>
      </c>
      <c r="N41" s="81">
        <f>N10*CHOOSE('Обобщенный расчет'!$L$1,'Исходные данные'!$D$74*N15,'Исходные данные'!$H$75)</f>
        <v>0</v>
      </c>
      <c r="O41" s="82">
        <f t="shared" ref="O41" si="64">SUM(C41:N41)</f>
        <v>0</v>
      </c>
      <c r="P41" s="82">
        <f t="shared" si="51"/>
        <v>0</v>
      </c>
      <c r="Q41" s="81">
        <f>Q10*CHOOSE('Обобщенный расчет'!$L$1,'Исходные данные'!$D$74*Q15,'Исходные данные'!$H$75)</f>
        <v>0</v>
      </c>
      <c r="R41" s="81">
        <f>R10*CHOOSE('Обобщенный расчет'!$L$1,'Исходные данные'!$D$74*R15,'Исходные данные'!$H$75)</f>
        <v>0</v>
      </c>
      <c r="S41" s="81">
        <f>S10*CHOOSE('Обобщенный расчет'!$L$1,'Исходные данные'!$D$74*S15,'Исходные данные'!$H$75)</f>
        <v>0</v>
      </c>
      <c r="T41" s="81">
        <f>T10*CHOOSE('Обобщенный расчет'!$L$1,'Исходные данные'!$D$74*T15,'Исходные данные'!$H$75)</f>
        <v>0</v>
      </c>
      <c r="U41" s="81">
        <f>U10*CHOOSE('Обобщенный расчет'!$L$1,'Исходные данные'!$D$74*U15,'Исходные данные'!$H$75)</f>
        <v>0</v>
      </c>
      <c r="V41" s="81">
        <f>V10*CHOOSE('Обобщенный расчет'!$L$1,'Исходные данные'!$D$74*V15,'Исходные данные'!$H$75)</f>
        <v>0</v>
      </c>
      <c r="W41" s="81">
        <f>W10*CHOOSE('Обобщенный расчет'!$L$1,'Исходные данные'!$D$74*W15,'Исходные данные'!$H$75)</f>
        <v>0</v>
      </c>
      <c r="X41" s="81">
        <f>X10*CHOOSE('Обобщенный расчет'!$L$1,'Исходные данные'!$D$74*X15,'Исходные данные'!$H$75)</f>
        <v>0</v>
      </c>
      <c r="Y41" s="81">
        <f>Y10*CHOOSE('Обобщенный расчет'!$L$1,'Исходные данные'!$D$74*Y15,'Исходные данные'!$H$75)</f>
        <v>0</v>
      </c>
      <c r="Z41" s="81">
        <f>Z10*CHOOSE('Обобщенный расчет'!$L$1,'Исходные данные'!$D$74*Z15,'Исходные данные'!$H$75)</f>
        <v>0</v>
      </c>
      <c r="AA41" s="81">
        <f>AA10*CHOOSE('Обобщенный расчет'!$L$1,'Исходные данные'!$D$74*AA15,'Исходные данные'!$H$75)</f>
        <v>0</v>
      </c>
      <c r="AB41" s="81">
        <f>AB10*CHOOSE('Обобщенный расчет'!$L$1,'Исходные данные'!$D$74*AB15,'Исходные данные'!$H$75)</f>
        <v>0</v>
      </c>
      <c r="AC41" s="82">
        <f t="shared" si="52"/>
        <v>0</v>
      </c>
      <c r="AD41" s="82">
        <f t="shared" si="53"/>
        <v>0</v>
      </c>
      <c r="AE41" s="81">
        <f>AE10*CHOOSE('Обобщенный расчет'!$L$1,'Исходные данные'!$D$74*AE15,'Исходные данные'!$H$75)</f>
        <v>0</v>
      </c>
      <c r="AF41" s="81">
        <f>AF10*CHOOSE('Обобщенный расчет'!$L$1,'Исходные данные'!$D$74*AF15,'Исходные данные'!$H$75)</f>
        <v>0</v>
      </c>
      <c r="AG41" s="81">
        <f>AG10*CHOOSE('Обобщенный расчет'!$L$1,'Исходные данные'!$D$74*AG15,'Исходные данные'!$H$75)</f>
        <v>0</v>
      </c>
      <c r="AH41" s="81">
        <f>AH10*CHOOSE('Обобщенный расчет'!$L$1,'Исходные данные'!$D$74*AH15,'Исходные данные'!$H$75)</f>
        <v>0</v>
      </c>
      <c r="AI41" s="81">
        <f>AI10*CHOOSE('Обобщенный расчет'!$L$1,'Исходные данные'!$D$74*AI15,'Исходные данные'!$H$75)</f>
        <v>0</v>
      </c>
      <c r="AJ41" s="81">
        <f>AJ10*CHOOSE('Обобщенный расчет'!$L$1,'Исходные данные'!$D$74*AJ15,'Исходные данные'!$H$75)</f>
        <v>0</v>
      </c>
      <c r="AK41" s="81">
        <f>AK10*CHOOSE('Обобщенный расчет'!$L$1,'Исходные данные'!$D$74*AK15,'Исходные данные'!$H$75)</f>
        <v>0</v>
      </c>
      <c r="AL41" s="81">
        <f>AL10*CHOOSE('Обобщенный расчет'!$L$1,'Исходные данные'!$D$74*AL15,'Исходные данные'!$H$75)</f>
        <v>0</v>
      </c>
      <c r="AM41" s="81">
        <f>AM10*CHOOSE('Обобщенный расчет'!$L$1,'Исходные данные'!$D$74*AM15,'Исходные данные'!$H$75)</f>
        <v>0</v>
      </c>
      <c r="AN41" s="81">
        <f>AN10*CHOOSE('Обобщенный расчет'!$L$1,'Исходные данные'!$D$74*AN15,'Исходные данные'!$H$75)</f>
        <v>0</v>
      </c>
      <c r="AO41" s="81">
        <f>AO10*CHOOSE('Обобщенный расчет'!$L$1,'Исходные данные'!$D$74*AO15,'Исходные данные'!$H$75)</f>
        <v>0</v>
      </c>
      <c r="AP41" s="81">
        <f>AP10*CHOOSE('Обобщенный расчет'!$L$1,'Исходные данные'!$D$74*AP15,'Исходные данные'!$H$75)</f>
        <v>0</v>
      </c>
      <c r="AQ41" s="82">
        <f t="shared" si="54"/>
        <v>0</v>
      </c>
      <c r="AR41" s="82">
        <f t="shared" si="55"/>
        <v>0</v>
      </c>
      <c r="AS41" s="76">
        <f t="shared" si="56"/>
        <v>0</v>
      </c>
      <c r="AT41" s="77"/>
    </row>
    <row r="42" spans="1:46" s="78" customFormat="1" ht="10.5" x14ac:dyDescent="0.35">
      <c r="A42" s="93" t="str">
        <f>'Обобщенный расчет'!B36</f>
        <v>Реклама</v>
      </c>
      <c r="B42" s="73" t="str">
        <f>CHOOSE('Исходные данные'!$N$2,'Исходные данные'!$O$2,'Исходные данные'!$O$3,'Исходные данные'!$O$4,'Исходные данные'!$O$5)</f>
        <v>USD</v>
      </c>
      <c r="C42" s="74">
        <f>'Исходные данные'!$H$76</f>
        <v>0</v>
      </c>
      <c r="D42" s="74">
        <f>'Исходные данные'!$H$76</f>
        <v>0</v>
      </c>
      <c r="E42" s="74">
        <f>'Исходные данные'!$H$76</f>
        <v>0</v>
      </c>
      <c r="F42" s="74">
        <f>'Исходные данные'!$H$76</f>
        <v>0</v>
      </c>
      <c r="G42" s="74">
        <f>'Исходные данные'!$H$76</f>
        <v>0</v>
      </c>
      <c r="H42" s="74">
        <f>'Исходные данные'!$H$76</f>
        <v>0</v>
      </c>
      <c r="I42" s="74">
        <f>'Исходные данные'!$H$76</f>
        <v>0</v>
      </c>
      <c r="J42" s="74">
        <f>'Исходные данные'!$H$76</f>
        <v>0</v>
      </c>
      <c r="K42" s="74">
        <f>'Исходные данные'!$H$76</f>
        <v>0</v>
      </c>
      <c r="L42" s="74">
        <f>'Исходные данные'!$H$76</f>
        <v>0</v>
      </c>
      <c r="M42" s="74">
        <f>'Исходные данные'!$H$76</f>
        <v>0</v>
      </c>
      <c r="N42" s="74">
        <f>'Исходные данные'!$H$76</f>
        <v>0</v>
      </c>
      <c r="O42" s="75">
        <f>SUM(C42:N42)</f>
        <v>0</v>
      </c>
      <c r="P42" s="75">
        <f>O42/12</f>
        <v>0</v>
      </c>
      <c r="Q42" s="74">
        <f>'Исходные данные'!$H$76</f>
        <v>0</v>
      </c>
      <c r="R42" s="74">
        <f>'Исходные данные'!$H$76</f>
        <v>0</v>
      </c>
      <c r="S42" s="74">
        <f>'Исходные данные'!$H$76</f>
        <v>0</v>
      </c>
      <c r="T42" s="74">
        <f>'Исходные данные'!$H$76</f>
        <v>0</v>
      </c>
      <c r="U42" s="74">
        <f>'Исходные данные'!$H$76</f>
        <v>0</v>
      </c>
      <c r="V42" s="74">
        <f>'Исходные данные'!$H$76</f>
        <v>0</v>
      </c>
      <c r="W42" s="74">
        <f>'Исходные данные'!$H$76</f>
        <v>0</v>
      </c>
      <c r="X42" s="74">
        <f>'Исходные данные'!$H$76</f>
        <v>0</v>
      </c>
      <c r="Y42" s="74">
        <f>'Исходные данные'!$H$76</f>
        <v>0</v>
      </c>
      <c r="Z42" s="74">
        <f>'Исходные данные'!$H$76</f>
        <v>0</v>
      </c>
      <c r="AA42" s="74">
        <f>'Исходные данные'!$H$76</f>
        <v>0</v>
      </c>
      <c r="AB42" s="74">
        <f>'Исходные данные'!$H$76</f>
        <v>0</v>
      </c>
      <c r="AC42" s="75">
        <f>SUM(Q42:AB42)</f>
        <v>0</v>
      </c>
      <c r="AD42" s="75">
        <f>AC42/12</f>
        <v>0</v>
      </c>
      <c r="AE42" s="74">
        <f>'Исходные данные'!$H$76</f>
        <v>0</v>
      </c>
      <c r="AF42" s="74">
        <f>'Исходные данные'!$H$76</f>
        <v>0</v>
      </c>
      <c r="AG42" s="74">
        <f>'Исходные данные'!$H$76</f>
        <v>0</v>
      </c>
      <c r="AH42" s="74">
        <f>'Исходные данные'!$H$76</f>
        <v>0</v>
      </c>
      <c r="AI42" s="74">
        <f>'Исходные данные'!$H$76</f>
        <v>0</v>
      </c>
      <c r="AJ42" s="74">
        <f>'Исходные данные'!$H$76</f>
        <v>0</v>
      </c>
      <c r="AK42" s="74">
        <f>'Исходные данные'!$H$76</f>
        <v>0</v>
      </c>
      <c r="AL42" s="74">
        <f>'Исходные данные'!$H$76</f>
        <v>0</v>
      </c>
      <c r="AM42" s="74">
        <f>'Исходные данные'!$H$76</f>
        <v>0</v>
      </c>
      <c r="AN42" s="74">
        <f>'Исходные данные'!$H$76</f>
        <v>0</v>
      </c>
      <c r="AO42" s="74">
        <f>'Исходные данные'!$H$76</f>
        <v>0</v>
      </c>
      <c r="AP42" s="74">
        <f>'Исходные данные'!$H$76</f>
        <v>0</v>
      </c>
      <c r="AQ42" s="75">
        <f>SUM(AE42:AP42)</f>
        <v>0</v>
      </c>
      <c r="AR42" s="75">
        <f>AQ42/12</f>
        <v>0</v>
      </c>
      <c r="AS42" s="76">
        <f>O42+AC42+AQ42</f>
        <v>0</v>
      </c>
      <c r="AT42" s="77"/>
    </row>
    <row r="43" spans="1:46" s="78" customFormat="1" ht="10.5" x14ac:dyDescent="0.35">
      <c r="A43" s="92" t="str">
        <f>'Обобщенный расчет'!B37</f>
        <v>Прочее</v>
      </c>
      <c r="B43" s="80" t="str">
        <f>CHOOSE('Исходные данные'!$N$2,'Исходные данные'!$O$2,'Исходные данные'!$O$3,'Исходные данные'!$O$4,'Исходные данные'!$O$5)</f>
        <v>USD</v>
      </c>
      <c r="C43" s="81">
        <f>'Исходные данные'!$H$77</f>
        <v>0</v>
      </c>
      <c r="D43" s="81">
        <f>'Исходные данные'!$H$77</f>
        <v>0</v>
      </c>
      <c r="E43" s="81">
        <f>'Исходные данные'!$H$77</f>
        <v>0</v>
      </c>
      <c r="F43" s="81">
        <f>'Исходные данные'!$H$77</f>
        <v>0</v>
      </c>
      <c r="G43" s="81">
        <f>'Исходные данные'!$H$77</f>
        <v>0</v>
      </c>
      <c r="H43" s="81">
        <f>'Исходные данные'!$H$77</f>
        <v>0</v>
      </c>
      <c r="I43" s="81">
        <f>'Исходные данные'!$H$77</f>
        <v>0</v>
      </c>
      <c r="J43" s="81">
        <f>'Исходные данные'!$H$77</f>
        <v>0</v>
      </c>
      <c r="K43" s="81">
        <f>'Исходные данные'!$H$77</f>
        <v>0</v>
      </c>
      <c r="L43" s="81">
        <f>'Исходные данные'!$H$77</f>
        <v>0</v>
      </c>
      <c r="M43" s="81">
        <f>'Исходные данные'!$H$77</f>
        <v>0</v>
      </c>
      <c r="N43" s="81">
        <f>'Исходные данные'!$H$77</f>
        <v>0</v>
      </c>
      <c r="O43" s="82">
        <f>SUM(C43:N43)</f>
        <v>0</v>
      </c>
      <c r="P43" s="82">
        <f>O43/12</f>
        <v>0</v>
      </c>
      <c r="Q43" s="81">
        <f>'Исходные данные'!$H$77</f>
        <v>0</v>
      </c>
      <c r="R43" s="81">
        <f>'Исходные данные'!$H$77</f>
        <v>0</v>
      </c>
      <c r="S43" s="81">
        <f>'Исходные данные'!$H$77</f>
        <v>0</v>
      </c>
      <c r="T43" s="81">
        <f>'Исходные данные'!$H$77</f>
        <v>0</v>
      </c>
      <c r="U43" s="81">
        <f>'Исходные данные'!$H$77</f>
        <v>0</v>
      </c>
      <c r="V43" s="81">
        <f>'Исходные данные'!$H$77</f>
        <v>0</v>
      </c>
      <c r="W43" s="81">
        <f>'Исходные данные'!$H$77</f>
        <v>0</v>
      </c>
      <c r="X43" s="81">
        <f>'Исходные данные'!$H$77</f>
        <v>0</v>
      </c>
      <c r="Y43" s="81">
        <f>'Исходные данные'!$H$77</f>
        <v>0</v>
      </c>
      <c r="Z43" s="81">
        <f>'Исходные данные'!$H$77</f>
        <v>0</v>
      </c>
      <c r="AA43" s="81">
        <f>'Исходные данные'!$H$77</f>
        <v>0</v>
      </c>
      <c r="AB43" s="81">
        <f>'Исходные данные'!$H$77</f>
        <v>0</v>
      </c>
      <c r="AC43" s="82">
        <f>SUM(Q43:AB43)</f>
        <v>0</v>
      </c>
      <c r="AD43" s="82">
        <f>AC43/12</f>
        <v>0</v>
      </c>
      <c r="AE43" s="81">
        <f>'Исходные данные'!$H$77</f>
        <v>0</v>
      </c>
      <c r="AF43" s="81">
        <f>'Исходные данные'!$H$77</f>
        <v>0</v>
      </c>
      <c r="AG43" s="81">
        <f>'Исходные данные'!$H$77</f>
        <v>0</v>
      </c>
      <c r="AH43" s="81">
        <f>'Исходные данные'!$H$77</f>
        <v>0</v>
      </c>
      <c r="AI43" s="81">
        <f>'Исходные данные'!$H$77</f>
        <v>0</v>
      </c>
      <c r="AJ43" s="81">
        <f>'Исходные данные'!$H$77</f>
        <v>0</v>
      </c>
      <c r="AK43" s="81">
        <f>'Исходные данные'!$H$77</f>
        <v>0</v>
      </c>
      <c r="AL43" s="81">
        <f>'Исходные данные'!$H$77</f>
        <v>0</v>
      </c>
      <c r="AM43" s="81">
        <f>'Исходные данные'!$H$77</f>
        <v>0</v>
      </c>
      <c r="AN43" s="81">
        <f>'Исходные данные'!$H$77</f>
        <v>0</v>
      </c>
      <c r="AO43" s="81">
        <f>'Исходные данные'!$H$77</f>
        <v>0</v>
      </c>
      <c r="AP43" s="81">
        <f>'Исходные данные'!$H$77</f>
        <v>0</v>
      </c>
      <c r="AQ43" s="82">
        <f>SUM(AE43:AP43)</f>
        <v>0</v>
      </c>
      <c r="AR43" s="82">
        <f>AQ43/12</f>
        <v>0</v>
      </c>
      <c r="AS43" s="76">
        <f>O43+AC43+AQ43</f>
        <v>0</v>
      </c>
      <c r="AT43" s="77"/>
    </row>
    <row r="44" spans="1:46" s="7" customFormat="1" ht="10.5" x14ac:dyDescent="0.35">
      <c r="A44" s="100" t="s">
        <v>9</v>
      </c>
      <c r="B44" s="101" t="str">
        <f>CHOOSE('Исходные данные'!$N$2,'Исходные данные'!$O$2,'Исходные данные'!$O$3,'Исходные данные'!$O$4,'Исходные данные'!$O$5)</f>
        <v>USD</v>
      </c>
      <c r="C44" s="102">
        <f t="shared" ref="C44:AS44" si="65">SUM(C31:C43)</f>
        <v>172.66666666666666</v>
      </c>
      <c r="D44" s="102">
        <f t="shared" si="65"/>
        <v>196.66666666666666</v>
      </c>
      <c r="E44" s="102">
        <f t="shared" si="65"/>
        <v>206.66666666666666</v>
      </c>
      <c r="F44" s="102">
        <f t="shared" si="65"/>
        <v>236.66666666666666</v>
      </c>
      <c r="G44" s="102">
        <f t="shared" si="65"/>
        <v>236.66666666666666</v>
      </c>
      <c r="H44" s="102">
        <f t="shared" si="65"/>
        <v>256.66666666666669</v>
      </c>
      <c r="I44" s="102">
        <f t="shared" si="65"/>
        <v>276.66666666666663</v>
      </c>
      <c r="J44" s="102">
        <f t="shared" si="65"/>
        <v>276.66666666666663</v>
      </c>
      <c r="K44" s="102">
        <f t="shared" si="65"/>
        <v>236.66666666666666</v>
      </c>
      <c r="L44" s="102">
        <f t="shared" si="65"/>
        <v>236.66666666666666</v>
      </c>
      <c r="M44" s="102">
        <f t="shared" si="65"/>
        <v>196.66666666666666</v>
      </c>
      <c r="N44" s="102">
        <f t="shared" si="65"/>
        <v>196.66666666666666</v>
      </c>
      <c r="O44" s="102">
        <f t="shared" si="65"/>
        <v>2725.9999999999995</v>
      </c>
      <c r="P44" s="102">
        <f t="shared" si="65"/>
        <v>227.16666666666663</v>
      </c>
      <c r="Q44" s="102">
        <f t="shared" si="65"/>
        <v>212.66666666666666</v>
      </c>
      <c r="R44" s="102">
        <f t="shared" si="65"/>
        <v>236.66666666666666</v>
      </c>
      <c r="S44" s="102">
        <f t="shared" si="65"/>
        <v>236.66666666666666</v>
      </c>
      <c r="T44" s="102">
        <f t="shared" si="65"/>
        <v>260.66666666666669</v>
      </c>
      <c r="U44" s="102">
        <f t="shared" si="65"/>
        <v>260.66666666666669</v>
      </c>
      <c r="V44" s="102">
        <f t="shared" si="65"/>
        <v>284.66666666666663</v>
      </c>
      <c r="W44" s="102">
        <f t="shared" si="65"/>
        <v>308.66666666666663</v>
      </c>
      <c r="X44" s="102">
        <f t="shared" si="65"/>
        <v>308.66666666666663</v>
      </c>
      <c r="Y44" s="102">
        <f t="shared" si="65"/>
        <v>260.66666666666669</v>
      </c>
      <c r="Z44" s="102">
        <f t="shared" si="65"/>
        <v>260.66666666666669</v>
      </c>
      <c r="AA44" s="102">
        <f t="shared" si="65"/>
        <v>212.66666666666666</v>
      </c>
      <c r="AB44" s="102">
        <f t="shared" si="65"/>
        <v>212.66666666666666</v>
      </c>
      <c r="AC44" s="102">
        <f t="shared" si="65"/>
        <v>3055.9999999999995</v>
      </c>
      <c r="AD44" s="102">
        <f t="shared" si="65"/>
        <v>254.66666666666663</v>
      </c>
      <c r="AE44" s="102">
        <f t="shared" si="65"/>
        <v>228.66666666666666</v>
      </c>
      <c r="AF44" s="102">
        <f t="shared" si="65"/>
        <v>256.66666666666669</v>
      </c>
      <c r="AG44" s="102">
        <f t="shared" si="65"/>
        <v>256.66666666666669</v>
      </c>
      <c r="AH44" s="102">
        <f t="shared" si="65"/>
        <v>284.66666666666663</v>
      </c>
      <c r="AI44" s="102">
        <f t="shared" si="65"/>
        <v>284.66666666666663</v>
      </c>
      <c r="AJ44" s="102">
        <f t="shared" si="65"/>
        <v>312.66666666666663</v>
      </c>
      <c r="AK44" s="102">
        <f t="shared" si="65"/>
        <v>340.66666666666663</v>
      </c>
      <c r="AL44" s="102">
        <f t="shared" si="65"/>
        <v>340.66666666666663</v>
      </c>
      <c r="AM44" s="102">
        <f t="shared" si="65"/>
        <v>284.66666666666663</v>
      </c>
      <c r="AN44" s="102">
        <f t="shared" si="65"/>
        <v>284.66666666666663</v>
      </c>
      <c r="AO44" s="102">
        <f t="shared" si="65"/>
        <v>228.66666666666666</v>
      </c>
      <c r="AP44" s="102">
        <f t="shared" si="65"/>
        <v>228.66666666666666</v>
      </c>
      <c r="AQ44" s="102">
        <f t="shared" si="65"/>
        <v>3331.9999999999995</v>
      </c>
      <c r="AR44" s="102">
        <f t="shared" si="65"/>
        <v>277.66666666666663</v>
      </c>
      <c r="AS44" s="102">
        <f t="shared" si="65"/>
        <v>9114</v>
      </c>
    </row>
    <row r="45" spans="1:46" s="8" customFormat="1" ht="10.8" thickBot="1" x14ac:dyDescent="0.4">
      <c r="A45" s="103"/>
      <c r="B45" s="104"/>
      <c r="C45" s="103"/>
      <c r="D45" s="103"/>
      <c r="E45" s="103"/>
      <c r="F45" s="103"/>
      <c r="G45" s="103"/>
      <c r="H45" s="103"/>
      <c r="I45" s="103"/>
      <c r="J45" s="103"/>
      <c r="K45" s="103"/>
      <c r="L45" s="103"/>
      <c r="M45" s="103"/>
      <c r="N45" s="103"/>
      <c r="O45" s="105"/>
      <c r="P45" s="105"/>
      <c r="Q45" s="103"/>
      <c r="R45" s="103"/>
      <c r="S45" s="103"/>
      <c r="T45" s="103"/>
      <c r="U45" s="103"/>
      <c r="V45" s="103"/>
      <c r="W45" s="103"/>
      <c r="X45" s="103"/>
      <c r="Y45" s="103"/>
      <c r="Z45" s="103"/>
      <c r="AA45" s="103"/>
      <c r="AB45" s="103"/>
      <c r="AC45" s="105"/>
      <c r="AD45" s="105"/>
      <c r="AE45" s="103"/>
      <c r="AF45" s="103"/>
      <c r="AG45" s="103"/>
      <c r="AH45" s="103"/>
      <c r="AI45" s="103"/>
      <c r="AJ45" s="103"/>
      <c r="AK45" s="103"/>
      <c r="AL45" s="103"/>
      <c r="AM45" s="103"/>
      <c r="AN45" s="103"/>
      <c r="AO45" s="103"/>
      <c r="AP45" s="103"/>
      <c r="AQ45" s="105"/>
      <c r="AR45" s="105"/>
      <c r="AS45" s="103"/>
    </row>
    <row r="46" spans="1:46" s="72" customFormat="1" ht="21.6" thickTop="1" thickBot="1" x14ac:dyDescent="0.4">
      <c r="A46" s="68" t="s">
        <v>10</v>
      </c>
      <c r="B46" s="69"/>
      <c r="C46" s="69" t="str">
        <f t="shared" ref="C46:N46" si="66">C$5</f>
        <v>январь</v>
      </c>
      <c r="D46" s="69" t="str">
        <f t="shared" si="66"/>
        <v>февраль</v>
      </c>
      <c r="E46" s="69" t="str">
        <f t="shared" si="66"/>
        <v>март</v>
      </c>
      <c r="F46" s="69" t="str">
        <f t="shared" si="66"/>
        <v>апрель</v>
      </c>
      <c r="G46" s="69" t="str">
        <f t="shared" si="66"/>
        <v>май</v>
      </c>
      <c r="H46" s="69" t="str">
        <f t="shared" si="66"/>
        <v>июнь</v>
      </c>
      <c r="I46" s="69" t="str">
        <f t="shared" si="66"/>
        <v>июль</v>
      </c>
      <c r="J46" s="69" t="str">
        <f t="shared" si="66"/>
        <v>август</v>
      </c>
      <c r="K46" s="69" t="str">
        <f t="shared" si="66"/>
        <v>сентябрь</v>
      </c>
      <c r="L46" s="69" t="str">
        <f t="shared" si="66"/>
        <v>октябрь</v>
      </c>
      <c r="M46" s="69" t="str">
        <f t="shared" si="66"/>
        <v>ноябрь</v>
      </c>
      <c r="N46" s="69" t="str">
        <f t="shared" si="66"/>
        <v>декабрь</v>
      </c>
      <c r="O46" s="91" t="str">
        <f>$O$13</f>
        <v>Итого за 1-й год</v>
      </c>
      <c r="P46" s="91" t="str">
        <f>$P$13</f>
        <v>Среднемесячно за 1-й год</v>
      </c>
      <c r="Q46" s="69" t="str">
        <f t="shared" ref="Q46:AB46" si="67">Q$5</f>
        <v>январь</v>
      </c>
      <c r="R46" s="69" t="str">
        <f t="shared" si="67"/>
        <v>февраль</v>
      </c>
      <c r="S46" s="69" t="str">
        <f t="shared" si="67"/>
        <v>март</v>
      </c>
      <c r="T46" s="69" t="str">
        <f t="shared" si="67"/>
        <v>апрель</v>
      </c>
      <c r="U46" s="69" t="str">
        <f t="shared" si="67"/>
        <v>май</v>
      </c>
      <c r="V46" s="69" t="str">
        <f t="shared" si="67"/>
        <v>июнь</v>
      </c>
      <c r="W46" s="69" t="str">
        <f t="shared" si="67"/>
        <v>июль</v>
      </c>
      <c r="X46" s="69" t="str">
        <f t="shared" si="67"/>
        <v>август</v>
      </c>
      <c r="Y46" s="69" t="str">
        <f t="shared" si="67"/>
        <v>сентябрь</v>
      </c>
      <c r="Z46" s="69" t="str">
        <f t="shared" si="67"/>
        <v>октябрь</v>
      </c>
      <c r="AA46" s="69" t="str">
        <f t="shared" si="67"/>
        <v>ноябрь</v>
      </c>
      <c r="AB46" s="69" t="str">
        <f t="shared" si="67"/>
        <v>декабрь</v>
      </c>
      <c r="AC46" s="91" t="str">
        <f>AC30</f>
        <v>Итого за 2-й год</v>
      </c>
      <c r="AD46" s="91" t="str">
        <f>AD30</f>
        <v>Среднемесячно за 2-й год</v>
      </c>
      <c r="AE46" s="69" t="str">
        <f t="shared" ref="AE46:AP46" si="68">AE$5</f>
        <v>январь</v>
      </c>
      <c r="AF46" s="69" t="str">
        <f t="shared" si="68"/>
        <v>февраль</v>
      </c>
      <c r="AG46" s="69" t="str">
        <f t="shared" si="68"/>
        <v>март</v>
      </c>
      <c r="AH46" s="69" t="str">
        <f t="shared" si="68"/>
        <v>апрель</v>
      </c>
      <c r="AI46" s="69" t="str">
        <f t="shared" si="68"/>
        <v>май</v>
      </c>
      <c r="AJ46" s="69" t="str">
        <f t="shared" si="68"/>
        <v>июнь</v>
      </c>
      <c r="AK46" s="69" t="str">
        <f t="shared" si="68"/>
        <v>июль</v>
      </c>
      <c r="AL46" s="69" t="str">
        <f t="shared" si="68"/>
        <v>август</v>
      </c>
      <c r="AM46" s="69" t="str">
        <f t="shared" si="68"/>
        <v>сентябрь</v>
      </c>
      <c r="AN46" s="69" t="str">
        <f t="shared" si="68"/>
        <v>октябрь</v>
      </c>
      <c r="AO46" s="69" t="str">
        <f t="shared" si="68"/>
        <v>ноябрь</v>
      </c>
      <c r="AP46" s="69" t="str">
        <f t="shared" si="68"/>
        <v>декабрь</v>
      </c>
      <c r="AQ46" s="91" t="str">
        <f>AQ30</f>
        <v>Итого за 3-й год</v>
      </c>
      <c r="AR46" s="91" t="str">
        <f>AR30</f>
        <v>Среднемесячно за 3-й год</v>
      </c>
      <c r="AS46" s="178" t="str">
        <f>AS30</f>
        <v>Итого за три года</v>
      </c>
    </row>
    <row r="47" spans="1:46" s="72" customFormat="1" ht="10.8" thickTop="1" x14ac:dyDescent="0.35">
      <c r="A47" s="106" t="s">
        <v>11</v>
      </c>
      <c r="B47" s="80" t="str">
        <f>CHOOSE('Исходные данные'!$N$2,'Исходные данные'!$O$2,'Исходные данные'!$O$3,'Исходные данные'!$O$4,'Исходные данные'!$O$5)</f>
        <v>USD</v>
      </c>
      <c r="C47" s="107">
        <f t="shared" ref="C47:N47" si="69">C15</f>
        <v>1400</v>
      </c>
      <c r="D47" s="107">
        <f t="shared" si="69"/>
        <v>2000</v>
      </c>
      <c r="E47" s="107">
        <f t="shared" si="69"/>
        <v>2250</v>
      </c>
      <c r="F47" s="107">
        <f t="shared" si="69"/>
        <v>3000</v>
      </c>
      <c r="G47" s="107">
        <f t="shared" si="69"/>
        <v>3000</v>
      </c>
      <c r="H47" s="107">
        <f t="shared" si="69"/>
        <v>3500</v>
      </c>
      <c r="I47" s="107">
        <f t="shared" si="69"/>
        <v>4000</v>
      </c>
      <c r="J47" s="107">
        <f t="shared" si="69"/>
        <v>4000</v>
      </c>
      <c r="K47" s="107">
        <f t="shared" si="69"/>
        <v>3000</v>
      </c>
      <c r="L47" s="107">
        <f t="shared" si="69"/>
        <v>3000</v>
      </c>
      <c r="M47" s="107">
        <f t="shared" si="69"/>
        <v>2000</v>
      </c>
      <c r="N47" s="107">
        <f t="shared" si="69"/>
        <v>2000</v>
      </c>
      <c r="O47" s="108">
        <f t="shared" ref="O47:O53" si="70">SUM(C47:N47)</f>
        <v>33150</v>
      </c>
      <c r="P47" s="108">
        <f t="shared" ref="P47:P53" si="71">O47/12</f>
        <v>2762.5</v>
      </c>
      <c r="Q47" s="107">
        <f t="shared" ref="Q47:AB47" si="72">Q15</f>
        <v>2400</v>
      </c>
      <c r="R47" s="107">
        <f t="shared" si="72"/>
        <v>3000</v>
      </c>
      <c r="S47" s="107">
        <f t="shared" si="72"/>
        <v>3000</v>
      </c>
      <c r="T47" s="107">
        <f t="shared" si="72"/>
        <v>3600</v>
      </c>
      <c r="U47" s="107">
        <f t="shared" si="72"/>
        <v>3600</v>
      </c>
      <c r="V47" s="107">
        <f t="shared" si="72"/>
        <v>4200</v>
      </c>
      <c r="W47" s="107">
        <f t="shared" si="72"/>
        <v>4800</v>
      </c>
      <c r="X47" s="107">
        <f t="shared" si="72"/>
        <v>4800</v>
      </c>
      <c r="Y47" s="107">
        <f t="shared" si="72"/>
        <v>3600</v>
      </c>
      <c r="Z47" s="107">
        <f t="shared" si="72"/>
        <v>3600</v>
      </c>
      <c r="AA47" s="107">
        <f t="shared" si="72"/>
        <v>2400</v>
      </c>
      <c r="AB47" s="107">
        <f t="shared" si="72"/>
        <v>2400</v>
      </c>
      <c r="AC47" s="108">
        <f t="shared" ref="AC47:AC53" si="73">SUM(Q47:AB47)</f>
        <v>41400</v>
      </c>
      <c r="AD47" s="108">
        <f t="shared" ref="AD47:AD53" si="74">AC47/12</f>
        <v>3450</v>
      </c>
      <c r="AE47" s="107">
        <f t="shared" ref="AE47:AP47" si="75">AE15</f>
        <v>2800</v>
      </c>
      <c r="AF47" s="107">
        <f t="shared" si="75"/>
        <v>3500</v>
      </c>
      <c r="AG47" s="107">
        <f t="shared" si="75"/>
        <v>3500</v>
      </c>
      <c r="AH47" s="107">
        <f t="shared" si="75"/>
        <v>4200</v>
      </c>
      <c r="AI47" s="107">
        <f t="shared" si="75"/>
        <v>4200</v>
      </c>
      <c r="AJ47" s="107">
        <f t="shared" si="75"/>
        <v>4900</v>
      </c>
      <c r="AK47" s="107">
        <f t="shared" si="75"/>
        <v>5600</v>
      </c>
      <c r="AL47" s="107">
        <f t="shared" si="75"/>
        <v>5600</v>
      </c>
      <c r="AM47" s="107">
        <f t="shared" si="75"/>
        <v>4200</v>
      </c>
      <c r="AN47" s="107">
        <f t="shared" si="75"/>
        <v>4200</v>
      </c>
      <c r="AO47" s="107">
        <f t="shared" si="75"/>
        <v>2800</v>
      </c>
      <c r="AP47" s="107">
        <f t="shared" si="75"/>
        <v>2800</v>
      </c>
      <c r="AQ47" s="108">
        <f t="shared" ref="AQ47:AQ53" si="76">SUM(AE47:AP47)</f>
        <v>48300</v>
      </c>
      <c r="AR47" s="108">
        <f t="shared" ref="AR47:AR53" si="77">AQ47/12</f>
        <v>4025</v>
      </c>
      <c r="AS47" s="109">
        <f t="shared" ref="AS47:AS52" si="78">O47+AC47+AQ47</f>
        <v>122850</v>
      </c>
    </row>
    <row r="48" spans="1:46" s="72" customFormat="1" ht="10.5" x14ac:dyDescent="0.35">
      <c r="A48" s="79" t="str">
        <f>"- Себестоимость"</f>
        <v>- Себестоимость</v>
      </c>
      <c r="B48" s="80" t="str">
        <f>CHOOSE('Исходные данные'!$N$2,'Исходные данные'!$O$2,'Исходные данные'!$O$3,'Исходные данные'!$O$4,'Исходные данные'!$O$5)</f>
        <v>USD</v>
      </c>
      <c r="C48" s="107">
        <v>0</v>
      </c>
      <c r="D48" s="107">
        <v>0</v>
      </c>
      <c r="E48" s="107">
        <v>0</v>
      </c>
      <c r="F48" s="107">
        <v>0</v>
      </c>
      <c r="G48" s="107">
        <v>0</v>
      </c>
      <c r="H48" s="107">
        <v>0</v>
      </c>
      <c r="I48" s="107">
        <v>0</v>
      </c>
      <c r="J48" s="107">
        <v>0</v>
      </c>
      <c r="K48" s="107">
        <v>0</v>
      </c>
      <c r="L48" s="107">
        <v>0</v>
      </c>
      <c r="M48" s="107">
        <v>0</v>
      </c>
      <c r="N48" s="107">
        <v>0</v>
      </c>
      <c r="O48" s="108">
        <f t="shared" si="70"/>
        <v>0</v>
      </c>
      <c r="P48" s="108">
        <f t="shared" si="71"/>
        <v>0</v>
      </c>
      <c r="Q48" s="107">
        <v>0</v>
      </c>
      <c r="R48" s="107">
        <v>0</v>
      </c>
      <c r="S48" s="107">
        <v>0</v>
      </c>
      <c r="T48" s="107">
        <v>0</v>
      </c>
      <c r="U48" s="107">
        <v>0</v>
      </c>
      <c r="V48" s="107">
        <v>0</v>
      </c>
      <c r="W48" s="107">
        <v>0</v>
      </c>
      <c r="X48" s="107">
        <v>0</v>
      </c>
      <c r="Y48" s="107">
        <v>0</v>
      </c>
      <c r="Z48" s="107">
        <v>0</v>
      </c>
      <c r="AA48" s="107">
        <v>0</v>
      </c>
      <c r="AB48" s="107">
        <v>0</v>
      </c>
      <c r="AC48" s="108">
        <f t="shared" si="73"/>
        <v>0</v>
      </c>
      <c r="AD48" s="108">
        <f t="shared" si="74"/>
        <v>0</v>
      </c>
      <c r="AE48" s="107">
        <v>0</v>
      </c>
      <c r="AF48" s="107">
        <v>0</v>
      </c>
      <c r="AG48" s="107">
        <v>0</v>
      </c>
      <c r="AH48" s="107">
        <v>0</v>
      </c>
      <c r="AI48" s="107">
        <v>0</v>
      </c>
      <c r="AJ48" s="107">
        <v>0</v>
      </c>
      <c r="AK48" s="107">
        <v>0</v>
      </c>
      <c r="AL48" s="107">
        <v>0</v>
      </c>
      <c r="AM48" s="107">
        <v>0</v>
      </c>
      <c r="AN48" s="107">
        <v>0</v>
      </c>
      <c r="AO48" s="107">
        <v>0</v>
      </c>
      <c r="AP48" s="107">
        <v>0</v>
      </c>
      <c r="AQ48" s="108">
        <f t="shared" si="76"/>
        <v>0</v>
      </c>
      <c r="AR48" s="108">
        <f t="shared" si="77"/>
        <v>0</v>
      </c>
      <c r="AS48" s="109">
        <f t="shared" si="78"/>
        <v>0</v>
      </c>
    </row>
    <row r="49" spans="1:45" s="72" customFormat="1" ht="10.5" x14ac:dyDescent="0.35">
      <c r="A49" s="106" t="s">
        <v>12</v>
      </c>
      <c r="B49" s="80" t="str">
        <f>CHOOSE('Исходные данные'!$N$2,'Исходные данные'!$O$2,'Исходные данные'!$O$3,'Исходные данные'!$O$4,'Исходные данные'!$O$5)</f>
        <v>USD</v>
      </c>
      <c r="C49" s="107">
        <f>C47-C48</f>
        <v>1400</v>
      </c>
      <c r="D49" s="107">
        <f t="shared" ref="D49:N49" si="79">D47-D48</f>
        <v>2000</v>
      </c>
      <c r="E49" s="107">
        <f t="shared" si="79"/>
        <v>2250</v>
      </c>
      <c r="F49" s="107">
        <f t="shared" si="79"/>
        <v>3000</v>
      </c>
      <c r="G49" s="107">
        <f t="shared" si="79"/>
        <v>3000</v>
      </c>
      <c r="H49" s="107">
        <f t="shared" si="79"/>
        <v>3500</v>
      </c>
      <c r="I49" s="107">
        <f t="shared" si="79"/>
        <v>4000</v>
      </c>
      <c r="J49" s="107">
        <f t="shared" si="79"/>
        <v>4000</v>
      </c>
      <c r="K49" s="107">
        <f t="shared" si="79"/>
        <v>3000</v>
      </c>
      <c r="L49" s="107">
        <f t="shared" si="79"/>
        <v>3000</v>
      </c>
      <c r="M49" s="107">
        <f t="shared" si="79"/>
        <v>2000</v>
      </c>
      <c r="N49" s="107">
        <f t="shared" si="79"/>
        <v>2000</v>
      </c>
      <c r="O49" s="108">
        <f t="shared" si="70"/>
        <v>33150</v>
      </c>
      <c r="P49" s="108">
        <f t="shared" si="71"/>
        <v>2762.5</v>
      </c>
      <c r="Q49" s="107">
        <f>Q47-Q48</f>
        <v>2400</v>
      </c>
      <c r="R49" s="107">
        <f t="shared" ref="R49:AB49" si="80">R47-R48</f>
        <v>3000</v>
      </c>
      <c r="S49" s="107">
        <f t="shared" si="80"/>
        <v>3000</v>
      </c>
      <c r="T49" s="107">
        <f t="shared" si="80"/>
        <v>3600</v>
      </c>
      <c r="U49" s="107">
        <f t="shared" si="80"/>
        <v>3600</v>
      </c>
      <c r="V49" s="107">
        <f t="shared" si="80"/>
        <v>4200</v>
      </c>
      <c r="W49" s="107">
        <f t="shared" si="80"/>
        <v>4800</v>
      </c>
      <c r="X49" s="107">
        <f t="shared" si="80"/>
        <v>4800</v>
      </c>
      <c r="Y49" s="107">
        <f t="shared" si="80"/>
        <v>3600</v>
      </c>
      <c r="Z49" s="107">
        <f t="shared" si="80"/>
        <v>3600</v>
      </c>
      <c r="AA49" s="107">
        <f t="shared" si="80"/>
        <v>2400</v>
      </c>
      <c r="AB49" s="107">
        <f t="shared" si="80"/>
        <v>2400</v>
      </c>
      <c r="AC49" s="108">
        <f t="shared" si="73"/>
        <v>41400</v>
      </c>
      <c r="AD49" s="108">
        <f t="shared" si="74"/>
        <v>3450</v>
      </c>
      <c r="AE49" s="107">
        <f>AE47-AE48</f>
        <v>2800</v>
      </c>
      <c r="AF49" s="107">
        <f t="shared" ref="AF49:AP49" si="81">AF47-AF48</f>
        <v>3500</v>
      </c>
      <c r="AG49" s="107">
        <f t="shared" si="81"/>
        <v>3500</v>
      </c>
      <c r="AH49" s="107">
        <f t="shared" si="81"/>
        <v>4200</v>
      </c>
      <c r="AI49" s="107">
        <f t="shared" si="81"/>
        <v>4200</v>
      </c>
      <c r="AJ49" s="107">
        <f t="shared" si="81"/>
        <v>4900</v>
      </c>
      <c r="AK49" s="107">
        <f t="shared" si="81"/>
        <v>5600</v>
      </c>
      <c r="AL49" s="107">
        <f t="shared" si="81"/>
        <v>5600</v>
      </c>
      <c r="AM49" s="107">
        <f t="shared" si="81"/>
        <v>4200</v>
      </c>
      <c r="AN49" s="107">
        <f t="shared" si="81"/>
        <v>4200</v>
      </c>
      <c r="AO49" s="107">
        <f t="shared" si="81"/>
        <v>2800</v>
      </c>
      <c r="AP49" s="107">
        <f t="shared" si="81"/>
        <v>2800</v>
      </c>
      <c r="AQ49" s="108">
        <f t="shared" si="76"/>
        <v>48300</v>
      </c>
      <c r="AR49" s="108">
        <f t="shared" si="77"/>
        <v>4025</v>
      </c>
      <c r="AS49" s="109">
        <f t="shared" si="78"/>
        <v>122850</v>
      </c>
    </row>
    <row r="50" spans="1:45" s="113" customFormat="1" ht="10.5" x14ac:dyDescent="0.35">
      <c r="A50" s="110" t="str">
        <f>"- Инвестиции"</f>
        <v>- Инвестиции</v>
      </c>
      <c r="B50" s="111" t="str">
        <f>CHOOSE('Исходные данные'!$N$2,'Исходные данные'!$O$2,'Исходные данные'!$O$3,'Исходные данные'!$O$4,'Исходные данные'!$O$5)</f>
        <v>USD</v>
      </c>
      <c r="C50" s="112">
        <f t="shared" ref="C50:N50" si="82">C26</f>
        <v>3851.8518518518517</v>
      </c>
      <c r="D50" s="112">
        <f t="shared" si="82"/>
        <v>0</v>
      </c>
      <c r="E50" s="112">
        <f t="shared" si="82"/>
        <v>0</v>
      </c>
      <c r="F50" s="112">
        <f t="shared" si="82"/>
        <v>0</v>
      </c>
      <c r="G50" s="112">
        <f t="shared" si="82"/>
        <v>0</v>
      </c>
      <c r="H50" s="112">
        <f t="shared" si="82"/>
        <v>0</v>
      </c>
      <c r="I50" s="112">
        <f t="shared" si="82"/>
        <v>0</v>
      </c>
      <c r="J50" s="112">
        <f t="shared" si="82"/>
        <v>0</v>
      </c>
      <c r="K50" s="112">
        <f t="shared" si="82"/>
        <v>0</v>
      </c>
      <c r="L50" s="112">
        <f t="shared" si="82"/>
        <v>0</v>
      </c>
      <c r="M50" s="112">
        <f t="shared" si="82"/>
        <v>0</v>
      </c>
      <c r="N50" s="112">
        <f t="shared" si="82"/>
        <v>0</v>
      </c>
      <c r="O50" s="108">
        <f t="shared" si="70"/>
        <v>3851.8518518518517</v>
      </c>
      <c r="P50" s="108"/>
      <c r="Q50" s="112">
        <f t="shared" ref="Q50:AB50" si="83">Q26</f>
        <v>0</v>
      </c>
      <c r="R50" s="112">
        <f t="shared" si="83"/>
        <v>0</v>
      </c>
      <c r="S50" s="112">
        <f t="shared" si="83"/>
        <v>0</v>
      </c>
      <c r="T50" s="112">
        <f t="shared" si="83"/>
        <v>0</v>
      </c>
      <c r="U50" s="112">
        <f t="shared" si="83"/>
        <v>0</v>
      </c>
      <c r="V50" s="112">
        <f t="shared" si="83"/>
        <v>0</v>
      </c>
      <c r="W50" s="112">
        <f t="shared" si="83"/>
        <v>0</v>
      </c>
      <c r="X50" s="112">
        <f t="shared" si="83"/>
        <v>0</v>
      </c>
      <c r="Y50" s="112">
        <f t="shared" si="83"/>
        <v>0</v>
      </c>
      <c r="Z50" s="112">
        <f t="shared" si="83"/>
        <v>0</v>
      </c>
      <c r="AA50" s="112">
        <f t="shared" si="83"/>
        <v>0</v>
      </c>
      <c r="AB50" s="112">
        <f t="shared" si="83"/>
        <v>0</v>
      </c>
      <c r="AC50" s="108">
        <f t="shared" si="73"/>
        <v>0</v>
      </c>
      <c r="AD50" s="108"/>
      <c r="AE50" s="112">
        <f t="shared" ref="AE50:AP50" si="84">AE26</f>
        <v>0</v>
      </c>
      <c r="AF50" s="112">
        <f t="shared" si="84"/>
        <v>0</v>
      </c>
      <c r="AG50" s="112">
        <f t="shared" si="84"/>
        <v>0</v>
      </c>
      <c r="AH50" s="112">
        <f t="shared" si="84"/>
        <v>0</v>
      </c>
      <c r="AI50" s="112">
        <f t="shared" si="84"/>
        <v>0</v>
      </c>
      <c r="AJ50" s="112">
        <f t="shared" si="84"/>
        <v>0</v>
      </c>
      <c r="AK50" s="112">
        <f t="shared" si="84"/>
        <v>0</v>
      </c>
      <c r="AL50" s="112">
        <f t="shared" si="84"/>
        <v>0</v>
      </c>
      <c r="AM50" s="112">
        <f t="shared" si="84"/>
        <v>0</v>
      </c>
      <c r="AN50" s="112">
        <f t="shared" si="84"/>
        <v>0</v>
      </c>
      <c r="AO50" s="112">
        <f t="shared" si="84"/>
        <v>0</v>
      </c>
      <c r="AP50" s="112">
        <f t="shared" si="84"/>
        <v>0</v>
      </c>
      <c r="AQ50" s="108">
        <f t="shared" si="76"/>
        <v>0</v>
      </c>
      <c r="AR50" s="108"/>
      <c r="AS50" s="109">
        <f t="shared" si="78"/>
        <v>3851.8518518518517</v>
      </c>
    </row>
    <row r="51" spans="1:45" s="72" customFormat="1" ht="10.5" x14ac:dyDescent="0.35">
      <c r="A51" s="79" t="str">
        <f>"- Текущие затраты"</f>
        <v>- Текущие затраты</v>
      </c>
      <c r="B51" s="80" t="str">
        <f>CHOOSE('Исходные данные'!$N$2,'Исходные данные'!$O$2,'Исходные данные'!$O$3,'Исходные данные'!$O$4,'Исходные данные'!$O$5)</f>
        <v>USD</v>
      </c>
      <c r="C51" s="107">
        <f>C44</f>
        <v>172.66666666666666</v>
      </c>
      <c r="D51" s="107">
        <f t="shared" ref="D51:N51" si="85">D44</f>
        <v>196.66666666666666</v>
      </c>
      <c r="E51" s="107">
        <f t="shared" si="85"/>
        <v>206.66666666666666</v>
      </c>
      <c r="F51" s="107">
        <f t="shared" si="85"/>
        <v>236.66666666666666</v>
      </c>
      <c r="G51" s="107">
        <f t="shared" si="85"/>
        <v>236.66666666666666</v>
      </c>
      <c r="H51" s="107">
        <f t="shared" si="85"/>
        <v>256.66666666666669</v>
      </c>
      <c r="I51" s="107">
        <f t="shared" si="85"/>
        <v>276.66666666666663</v>
      </c>
      <c r="J51" s="107">
        <f t="shared" si="85"/>
        <v>276.66666666666663</v>
      </c>
      <c r="K51" s="107">
        <f t="shared" si="85"/>
        <v>236.66666666666666</v>
      </c>
      <c r="L51" s="107">
        <f t="shared" si="85"/>
        <v>236.66666666666666</v>
      </c>
      <c r="M51" s="107">
        <f t="shared" si="85"/>
        <v>196.66666666666666</v>
      </c>
      <c r="N51" s="107">
        <f t="shared" si="85"/>
        <v>196.66666666666666</v>
      </c>
      <c r="O51" s="108">
        <f t="shared" si="70"/>
        <v>2725.9999999999991</v>
      </c>
      <c r="P51" s="108">
        <f t="shared" si="71"/>
        <v>227.1666666666666</v>
      </c>
      <c r="Q51" s="107">
        <f>Q44</f>
        <v>212.66666666666666</v>
      </c>
      <c r="R51" s="107">
        <f t="shared" ref="R51:AB51" si="86">R44</f>
        <v>236.66666666666666</v>
      </c>
      <c r="S51" s="107">
        <f t="shared" si="86"/>
        <v>236.66666666666666</v>
      </c>
      <c r="T51" s="107">
        <f t="shared" si="86"/>
        <v>260.66666666666669</v>
      </c>
      <c r="U51" s="107">
        <f t="shared" si="86"/>
        <v>260.66666666666669</v>
      </c>
      <c r="V51" s="107">
        <f t="shared" si="86"/>
        <v>284.66666666666663</v>
      </c>
      <c r="W51" s="107">
        <f t="shared" si="86"/>
        <v>308.66666666666663</v>
      </c>
      <c r="X51" s="107">
        <f t="shared" si="86"/>
        <v>308.66666666666663</v>
      </c>
      <c r="Y51" s="107">
        <f t="shared" si="86"/>
        <v>260.66666666666669</v>
      </c>
      <c r="Z51" s="107">
        <f t="shared" si="86"/>
        <v>260.66666666666669</v>
      </c>
      <c r="AA51" s="107">
        <f t="shared" si="86"/>
        <v>212.66666666666666</v>
      </c>
      <c r="AB51" s="107">
        <f t="shared" si="86"/>
        <v>212.66666666666666</v>
      </c>
      <c r="AC51" s="108">
        <f t="shared" si="73"/>
        <v>3055.9999999999991</v>
      </c>
      <c r="AD51" s="108">
        <f t="shared" si="74"/>
        <v>254.6666666666666</v>
      </c>
      <c r="AE51" s="107">
        <f>AE44</f>
        <v>228.66666666666666</v>
      </c>
      <c r="AF51" s="107">
        <f t="shared" ref="AF51:AP51" si="87">AF44</f>
        <v>256.66666666666669</v>
      </c>
      <c r="AG51" s="107">
        <f t="shared" si="87"/>
        <v>256.66666666666669</v>
      </c>
      <c r="AH51" s="107">
        <f t="shared" si="87"/>
        <v>284.66666666666663</v>
      </c>
      <c r="AI51" s="107">
        <f t="shared" si="87"/>
        <v>284.66666666666663</v>
      </c>
      <c r="AJ51" s="107">
        <f t="shared" si="87"/>
        <v>312.66666666666663</v>
      </c>
      <c r="AK51" s="107">
        <f t="shared" si="87"/>
        <v>340.66666666666663</v>
      </c>
      <c r="AL51" s="107">
        <f t="shared" si="87"/>
        <v>340.66666666666663</v>
      </c>
      <c r="AM51" s="107">
        <f t="shared" si="87"/>
        <v>284.66666666666663</v>
      </c>
      <c r="AN51" s="107">
        <f t="shared" si="87"/>
        <v>284.66666666666663</v>
      </c>
      <c r="AO51" s="107">
        <f t="shared" si="87"/>
        <v>228.66666666666666</v>
      </c>
      <c r="AP51" s="107">
        <f t="shared" si="87"/>
        <v>228.66666666666666</v>
      </c>
      <c r="AQ51" s="108">
        <f t="shared" si="76"/>
        <v>3331.9999999999986</v>
      </c>
      <c r="AR51" s="108">
        <f t="shared" si="77"/>
        <v>277.66666666666657</v>
      </c>
      <c r="AS51" s="109">
        <f t="shared" si="78"/>
        <v>9113.9999999999964</v>
      </c>
    </row>
    <row r="52" spans="1:45" s="72" customFormat="1" ht="10.5" x14ac:dyDescent="0.35">
      <c r="A52" s="114" t="s">
        <v>84</v>
      </c>
      <c r="B52" s="80" t="str">
        <f>CHOOSE('Исходные данные'!$N$2,'Исходные данные'!$O$2,'Исходные данные'!$O$3,'Исходные данные'!$O$4,'Исходные данные'!$O$5)</f>
        <v>USD</v>
      </c>
      <c r="C52" s="107">
        <f>C49-C50-C51</f>
        <v>-2624.5185185185182</v>
      </c>
      <c r="D52" s="107">
        <f>D49-D50-D51</f>
        <v>1803.3333333333333</v>
      </c>
      <c r="E52" s="107">
        <f t="shared" ref="E52:N52" si="88">E49-E50-E51</f>
        <v>2043.3333333333333</v>
      </c>
      <c r="F52" s="107">
        <f t="shared" si="88"/>
        <v>2763.3333333333335</v>
      </c>
      <c r="G52" s="107">
        <f t="shared" si="88"/>
        <v>2763.3333333333335</v>
      </c>
      <c r="H52" s="107">
        <f t="shared" si="88"/>
        <v>3243.3333333333335</v>
      </c>
      <c r="I52" s="107">
        <f t="shared" si="88"/>
        <v>3723.3333333333335</v>
      </c>
      <c r="J52" s="107">
        <f t="shared" si="88"/>
        <v>3723.3333333333335</v>
      </c>
      <c r="K52" s="107">
        <f t="shared" si="88"/>
        <v>2763.3333333333335</v>
      </c>
      <c r="L52" s="107">
        <f t="shared" si="88"/>
        <v>2763.3333333333335</v>
      </c>
      <c r="M52" s="107">
        <f t="shared" si="88"/>
        <v>1803.3333333333333</v>
      </c>
      <c r="N52" s="107">
        <f t="shared" si="88"/>
        <v>1803.3333333333333</v>
      </c>
      <c r="O52" s="108">
        <f t="shared" si="70"/>
        <v>26572.148148148146</v>
      </c>
      <c r="P52" s="108">
        <f t="shared" si="71"/>
        <v>2214.3456790123455</v>
      </c>
      <c r="Q52" s="107">
        <f>Q49-Q50-Q51</f>
        <v>2187.3333333333335</v>
      </c>
      <c r="R52" s="107">
        <f>R49-R50-R51</f>
        <v>2763.3333333333335</v>
      </c>
      <c r="S52" s="107">
        <f t="shared" ref="S52:AB52" si="89">S49-S50-S51</f>
        <v>2763.3333333333335</v>
      </c>
      <c r="T52" s="107">
        <f t="shared" si="89"/>
        <v>3339.3333333333335</v>
      </c>
      <c r="U52" s="107">
        <f t="shared" si="89"/>
        <v>3339.3333333333335</v>
      </c>
      <c r="V52" s="107">
        <f t="shared" si="89"/>
        <v>3915.3333333333335</v>
      </c>
      <c r="W52" s="107">
        <f t="shared" si="89"/>
        <v>4491.333333333333</v>
      </c>
      <c r="X52" s="107">
        <f t="shared" si="89"/>
        <v>4491.333333333333</v>
      </c>
      <c r="Y52" s="107">
        <f t="shared" si="89"/>
        <v>3339.3333333333335</v>
      </c>
      <c r="Z52" s="107">
        <f t="shared" si="89"/>
        <v>3339.3333333333335</v>
      </c>
      <c r="AA52" s="107">
        <f t="shared" si="89"/>
        <v>2187.3333333333335</v>
      </c>
      <c r="AB52" s="107">
        <f t="shared" si="89"/>
        <v>2187.3333333333335</v>
      </c>
      <c r="AC52" s="108">
        <f t="shared" si="73"/>
        <v>38344</v>
      </c>
      <c r="AD52" s="108">
        <f t="shared" si="74"/>
        <v>3195.3333333333335</v>
      </c>
      <c r="AE52" s="107">
        <f>AE49-AE50-AE51</f>
        <v>2571.3333333333335</v>
      </c>
      <c r="AF52" s="107">
        <f>AF49-AF50-AF51</f>
        <v>3243.3333333333335</v>
      </c>
      <c r="AG52" s="107">
        <f t="shared" ref="AG52:AP52" si="90">AG49-AG50-AG51</f>
        <v>3243.3333333333335</v>
      </c>
      <c r="AH52" s="107">
        <f t="shared" si="90"/>
        <v>3915.3333333333335</v>
      </c>
      <c r="AI52" s="107">
        <f t="shared" si="90"/>
        <v>3915.3333333333335</v>
      </c>
      <c r="AJ52" s="107">
        <f t="shared" si="90"/>
        <v>4587.333333333333</v>
      </c>
      <c r="AK52" s="107">
        <f t="shared" si="90"/>
        <v>5259.333333333333</v>
      </c>
      <c r="AL52" s="107">
        <f t="shared" si="90"/>
        <v>5259.333333333333</v>
      </c>
      <c r="AM52" s="107">
        <f t="shared" si="90"/>
        <v>3915.3333333333335</v>
      </c>
      <c r="AN52" s="107">
        <f t="shared" si="90"/>
        <v>3915.3333333333335</v>
      </c>
      <c r="AO52" s="107">
        <f t="shared" si="90"/>
        <v>2571.3333333333335</v>
      </c>
      <c r="AP52" s="107">
        <f t="shared" si="90"/>
        <v>2571.3333333333335</v>
      </c>
      <c r="AQ52" s="108">
        <f t="shared" si="76"/>
        <v>44968.000000000007</v>
      </c>
      <c r="AR52" s="108">
        <f t="shared" si="77"/>
        <v>3747.3333333333339</v>
      </c>
      <c r="AS52" s="109">
        <f t="shared" si="78"/>
        <v>109884.14814814815</v>
      </c>
    </row>
    <row r="53" spans="1:45" s="72" customFormat="1" ht="10.5" x14ac:dyDescent="0.35">
      <c r="A53" s="115" t="s">
        <v>65</v>
      </c>
      <c r="B53" s="80" t="str">
        <f>CHOOSE('Исходные данные'!$N$2,'Исходные данные'!$O$2,'Исходные данные'!$O$3,'Исходные данные'!$O$4,'Исходные данные'!$O$5)</f>
        <v>USD</v>
      </c>
      <c r="C53" s="107">
        <f t="shared" ref="C53:N53" si="91">C49-C51</f>
        <v>1227.3333333333333</v>
      </c>
      <c r="D53" s="107">
        <f t="shared" si="91"/>
        <v>1803.3333333333333</v>
      </c>
      <c r="E53" s="107">
        <f t="shared" si="91"/>
        <v>2043.3333333333333</v>
      </c>
      <c r="F53" s="107">
        <f t="shared" si="91"/>
        <v>2763.3333333333335</v>
      </c>
      <c r="G53" s="107">
        <f t="shared" si="91"/>
        <v>2763.3333333333335</v>
      </c>
      <c r="H53" s="107">
        <f t="shared" si="91"/>
        <v>3243.3333333333335</v>
      </c>
      <c r="I53" s="107">
        <f t="shared" si="91"/>
        <v>3723.3333333333335</v>
      </c>
      <c r="J53" s="107">
        <f t="shared" si="91"/>
        <v>3723.3333333333335</v>
      </c>
      <c r="K53" s="107">
        <f t="shared" si="91"/>
        <v>2763.3333333333335</v>
      </c>
      <c r="L53" s="107">
        <f t="shared" si="91"/>
        <v>2763.3333333333335</v>
      </c>
      <c r="M53" s="107">
        <f t="shared" si="91"/>
        <v>1803.3333333333333</v>
      </c>
      <c r="N53" s="107">
        <f t="shared" si="91"/>
        <v>1803.3333333333333</v>
      </c>
      <c r="O53" s="108">
        <f t="shared" si="70"/>
        <v>30423.999999999996</v>
      </c>
      <c r="P53" s="108">
        <f t="shared" si="71"/>
        <v>2535.333333333333</v>
      </c>
      <c r="Q53" s="107">
        <f t="shared" ref="Q53:AB53" si="92">Q49-Q51</f>
        <v>2187.3333333333335</v>
      </c>
      <c r="R53" s="107">
        <f t="shared" si="92"/>
        <v>2763.3333333333335</v>
      </c>
      <c r="S53" s="107">
        <f t="shared" si="92"/>
        <v>2763.3333333333335</v>
      </c>
      <c r="T53" s="107">
        <f t="shared" si="92"/>
        <v>3339.3333333333335</v>
      </c>
      <c r="U53" s="107">
        <f t="shared" si="92"/>
        <v>3339.3333333333335</v>
      </c>
      <c r="V53" s="107">
        <f t="shared" si="92"/>
        <v>3915.3333333333335</v>
      </c>
      <c r="W53" s="107">
        <f t="shared" si="92"/>
        <v>4491.333333333333</v>
      </c>
      <c r="X53" s="107">
        <f t="shared" si="92"/>
        <v>4491.333333333333</v>
      </c>
      <c r="Y53" s="107">
        <f t="shared" si="92"/>
        <v>3339.3333333333335</v>
      </c>
      <c r="Z53" s="107">
        <f t="shared" si="92"/>
        <v>3339.3333333333335</v>
      </c>
      <c r="AA53" s="107">
        <f t="shared" si="92"/>
        <v>2187.3333333333335</v>
      </c>
      <c r="AB53" s="107">
        <f t="shared" si="92"/>
        <v>2187.3333333333335</v>
      </c>
      <c r="AC53" s="108">
        <f t="shared" si="73"/>
        <v>38344</v>
      </c>
      <c r="AD53" s="108">
        <f t="shared" si="74"/>
        <v>3195.3333333333335</v>
      </c>
      <c r="AE53" s="107">
        <f t="shared" ref="AE53:AP53" si="93">AE49-AE51</f>
        <v>2571.3333333333335</v>
      </c>
      <c r="AF53" s="107">
        <f t="shared" si="93"/>
        <v>3243.3333333333335</v>
      </c>
      <c r="AG53" s="107">
        <f t="shared" si="93"/>
        <v>3243.3333333333335</v>
      </c>
      <c r="AH53" s="107">
        <f t="shared" si="93"/>
        <v>3915.3333333333335</v>
      </c>
      <c r="AI53" s="107">
        <f t="shared" si="93"/>
        <v>3915.3333333333335</v>
      </c>
      <c r="AJ53" s="107">
        <f t="shared" si="93"/>
        <v>4587.333333333333</v>
      </c>
      <c r="AK53" s="107">
        <f t="shared" si="93"/>
        <v>5259.333333333333</v>
      </c>
      <c r="AL53" s="107">
        <f t="shared" si="93"/>
        <v>5259.333333333333</v>
      </c>
      <c r="AM53" s="107">
        <f t="shared" si="93"/>
        <v>3915.3333333333335</v>
      </c>
      <c r="AN53" s="107">
        <f t="shared" si="93"/>
        <v>3915.3333333333335</v>
      </c>
      <c r="AO53" s="107">
        <f t="shared" si="93"/>
        <v>2571.3333333333335</v>
      </c>
      <c r="AP53" s="107">
        <f t="shared" si="93"/>
        <v>2571.3333333333335</v>
      </c>
      <c r="AQ53" s="108">
        <f t="shared" si="76"/>
        <v>44968.000000000007</v>
      </c>
      <c r="AR53" s="108">
        <f t="shared" si="77"/>
        <v>3747.3333333333339</v>
      </c>
      <c r="AS53" s="116"/>
    </row>
    <row r="54" spans="1:45" s="72" customFormat="1" ht="10.5" x14ac:dyDescent="0.35">
      <c r="A54" s="117" t="str">
        <f>"- Прибыль (убытки) накопительным итогом"</f>
        <v>- Прибыль (убытки) накопительным итогом</v>
      </c>
      <c r="B54" s="80" t="str">
        <f>CHOOSE('Исходные данные'!$N$2,'Исходные данные'!$O$2,'Исходные данные'!$O$3,'Исходные данные'!$O$4,'Исходные данные'!$O$5)</f>
        <v>USD</v>
      </c>
      <c r="C54" s="107">
        <f t="shared" ref="C54:N54" si="94">C52+IF(ISNUMBER(B54),B54,0)</f>
        <v>-2624.5185185185182</v>
      </c>
      <c r="D54" s="107">
        <f t="shared" si="94"/>
        <v>-821.18518518518499</v>
      </c>
      <c r="E54" s="107">
        <f t="shared" si="94"/>
        <v>1222.1481481481483</v>
      </c>
      <c r="F54" s="107">
        <f t="shared" si="94"/>
        <v>3985.4814814814818</v>
      </c>
      <c r="G54" s="107">
        <f t="shared" si="94"/>
        <v>6748.8148148148157</v>
      </c>
      <c r="H54" s="107">
        <f t="shared" si="94"/>
        <v>9992.1481481481496</v>
      </c>
      <c r="I54" s="107">
        <f t="shared" si="94"/>
        <v>13715.481481481484</v>
      </c>
      <c r="J54" s="107">
        <f t="shared" si="94"/>
        <v>17438.814814814818</v>
      </c>
      <c r="K54" s="107">
        <f t="shared" si="94"/>
        <v>20202.14814814815</v>
      </c>
      <c r="L54" s="107">
        <f t="shared" si="94"/>
        <v>22965.481481481482</v>
      </c>
      <c r="M54" s="107">
        <f t="shared" si="94"/>
        <v>24768.814814814814</v>
      </c>
      <c r="N54" s="107">
        <f t="shared" si="94"/>
        <v>26572.148148148146</v>
      </c>
      <c r="O54" s="108">
        <f>N54</f>
        <v>26572.148148148146</v>
      </c>
      <c r="P54" s="108"/>
      <c r="Q54" s="107">
        <f>Q52+IF(ISNUMBER(N54),N54,0)</f>
        <v>28759.481481481478</v>
      </c>
      <c r="R54" s="107">
        <f t="shared" ref="R54:AB54" si="95">R52+IF(ISNUMBER(Q54),Q54,0)</f>
        <v>31522.81481481481</v>
      </c>
      <c r="S54" s="107">
        <f t="shared" si="95"/>
        <v>34286.148148148146</v>
      </c>
      <c r="T54" s="107">
        <f t="shared" si="95"/>
        <v>37625.481481481482</v>
      </c>
      <c r="U54" s="107">
        <f t="shared" si="95"/>
        <v>40964.814814814818</v>
      </c>
      <c r="V54" s="107">
        <f t="shared" si="95"/>
        <v>44880.148148148153</v>
      </c>
      <c r="W54" s="107">
        <f t="shared" si="95"/>
        <v>49371.481481481489</v>
      </c>
      <c r="X54" s="107">
        <f t="shared" si="95"/>
        <v>53862.814814814825</v>
      </c>
      <c r="Y54" s="107">
        <f t="shared" si="95"/>
        <v>57202.148148148161</v>
      </c>
      <c r="Z54" s="107">
        <f t="shared" si="95"/>
        <v>60541.481481481496</v>
      </c>
      <c r="AA54" s="107">
        <f t="shared" si="95"/>
        <v>62728.814814814832</v>
      </c>
      <c r="AB54" s="107">
        <f t="shared" si="95"/>
        <v>64916.148148148168</v>
      </c>
      <c r="AC54" s="108">
        <f>AB54</f>
        <v>64916.148148148168</v>
      </c>
      <c r="AD54" s="108"/>
      <c r="AE54" s="107">
        <f>AE52+IF(ISNUMBER(AB54),AB54,0)</f>
        <v>67487.481481481504</v>
      </c>
      <c r="AF54" s="107">
        <f t="shared" ref="AF54:AP54" si="96">AF52+IF(ISNUMBER(AE54),AE54,0)</f>
        <v>70730.814814814832</v>
      </c>
      <c r="AG54" s="107">
        <f t="shared" si="96"/>
        <v>73974.148148148161</v>
      </c>
      <c r="AH54" s="107">
        <f t="shared" si="96"/>
        <v>77889.481481481489</v>
      </c>
      <c r="AI54" s="107">
        <f t="shared" si="96"/>
        <v>81804.814814814818</v>
      </c>
      <c r="AJ54" s="107">
        <f t="shared" si="96"/>
        <v>86392.148148148146</v>
      </c>
      <c r="AK54" s="107">
        <f t="shared" si="96"/>
        <v>91651.481481481474</v>
      </c>
      <c r="AL54" s="107">
        <f t="shared" si="96"/>
        <v>96910.814814814803</v>
      </c>
      <c r="AM54" s="107">
        <f t="shared" si="96"/>
        <v>100826.14814814813</v>
      </c>
      <c r="AN54" s="107">
        <f t="shared" si="96"/>
        <v>104741.48148148146</v>
      </c>
      <c r="AO54" s="107">
        <f t="shared" si="96"/>
        <v>107312.81481481479</v>
      </c>
      <c r="AP54" s="107">
        <f t="shared" si="96"/>
        <v>109884.14814814812</v>
      </c>
      <c r="AQ54" s="108">
        <f>AP54</f>
        <v>109884.14814814812</v>
      </c>
      <c r="AR54" s="108"/>
      <c r="AS54" s="116"/>
    </row>
    <row r="55" spans="1:45" s="72" customFormat="1" ht="10.8" thickBot="1" x14ac:dyDescent="0.45">
      <c r="O55" s="89"/>
      <c r="P55" s="89"/>
      <c r="AC55" s="89"/>
      <c r="AD55" s="89"/>
      <c r="AQ55" s="89"/>
      <c r="AR55" s="89"/>
    </row>
    <row r="56" spans="1:45" s="72" customFormat="1" ht="21.6" thickTop="1" thickBot="1" x14ac:dyDescent="0.4">
      <c r="A56" s="68" t="s">
        <v>13</v>
      </c>
      <c r="B56" s="69"/>
      <c r="C56" s="69" t="str">
        <f t="shared" ref="C56:N56" si="97">C$5</f>
        <v>январь</v>
      </c>
      <c r="D56" s="69" t="str">
        <f t="shared" si="97"/>
        <v>февраль</v>
      </c>
      <c r="E56" s="69" t="str">
        <f t="shared" si="97"/>
        <v>март</v>
      </c>
      <c r="F56" s="69" t="str">
        <f t="shared" si="97"/>
        <v>апрель</v>
      </c>
      <c r="G56" s="69" t="str">
        <f t="shared" si="97"/>
        <v>май</v>
      </c>
      <c r="H56" s="69" t="str">
        <f t="shared" si="97"/>
        <v>июнь</v>
      </c>
      <c r="I56" s="69" t="str">
        <f t="shared" si="97"/>
        <v>июль</v>
      </c>
      <c r="J56" s="69" t="str">
        <f t="shared" si="97"/>
        <v>август</v>
      </c>
      <c r="K56" s="69" t="str">
        <f t="shared" si="97"/>
        <v>сентябрь</v>
      </c>
      <c r="L56" s="69" t="str">
        <f t="shared" si="97"/>
        <v>октябрь</v>
      </c>
      <c r="M56" s="69" t="str">
        <f t="shared" si="97"/>
        <v>ноябрь</v>
      </c>
      <c r="N56" s="69" t="str">
        <f t="shared" si="97"/>
        <v>декабрь</v>
      </c>
      <c r="O56" s="91" t="str">
        <f>$O$13</f>
        <v>Итого за 1-й год</v>
      </c>
      <c r="P56" s="91" t="str">
        <f>$P$13</f>
        <v>Среднемесячно за 1-й год</v>
      </c>
      <c r="Q56" s="69" t="str">
        <f t="shared" ref="Q56:AB56" si="98">Q$5</f>
        <v>январь</v>
      </c>
      <c r="R56" s="69" t="str">
        <f t="shared" si="98"/>
        <v>февраль</v>
      </c>
      <c r="S56" s="69" t="str">
        <f t="shared" si="98"/>
        <v>март</v>
      </c>
      <c r="T56" s="69" t="str">
        <f t="shared" si="98"/>
        <v>апрель</v>
      </c>
      <c r="U56" s="69" t="str">
        <f t="shared" si="98"/>
        <v>май</v>
      </c>
      <c r="V56" s="69" t="str">
        <f t="shared" si="98"/>
        <v>июнь</v>
      </c>
      <c r="W56" s="69" t="str">
        <f t="shared" si="98"/>
        <v>июль</v>
      </c>
      <c r="X56" s="69" t="str">
        <f t="shared" si="98"/>
        <v>август</v>
      </c>
      <c r="Y56" s="69" t="str">
        <f t="shared" si="98"/>
        <v>сентябрь</v>
      </c>
      <c r="Z56" s="69" t="str">
        <f t="shared" si="98"/>
        <v>октябрь</v>
      </c>
      <c r="AA56" s="69" t="str">
        <f t="shared" si="98"/>
        <v>ноябрь</v>
      </c>
      <c r="AB56" s="69" t="str">
        <f t="shared" si="98"/>
        <v>декабрь</v>
      </c>
      <c r="AC56" s="91" t="str">
        <f>AC46</f>
        <v>Итого за 2-й год</v>
      </c>
      <c r="AD56" s="91" t="str">
        <f>AD46</f>
        <v>Среднемесячно за 2-й год</v>
      </c>
      <c r="AE56" s="69" t="str">
        <f t="shared" ref="AE56:AP56" si="99">AE$5</f>
        <v>январь</v>
      </c>
      <c r="AF56" s="69" t="str">
        <f t="shared" si="99"/>
        <v>февраль</v>
      </c>
      <c r="AG56" s="69" t="str">
        <f t="shared" si="99"/>
        <v>март</v>
      </c>
      <c r="AH56" s="69" t="str">
        <f t="shared" si="99"/>
        <v>апрель</v>
      </c>
      <c r="AI56" s="69" t="str">
        <f t="shared" si="99"/>
        <v>май</v>
      </c>
      <c r="AJ56" s="69" t="str">
        <f t="shared" si="99"/>
        <v>июнь</v>
      </c>
      <c r="AK56" s="69" t="str">
        <f t="shared" si="99"/>
        <v>июль</v>
      </c>
      <c r="AL56" s="69" t="str">
        <f t="shared" si="99"/>
        <v>август</v>
      </c>
      <c r="AM56" s="69" t="str">
        <f t="shared" si="99"/>
        <v>сентябрь</v>
      </c>
      <c r="AN56" s="69" t="str">
        <f t="shared" si="99"/>
        <v>октябрь</v>
      </c>
      <c r="AO56" s="69" t="str">
        <f t="shared" si="99"/>
        <v>ноябрь</v>
      </c>
      <c r="AP56" s="69" t="str">
        <f t="shared" si="99"/>
        <v>декабрь</v>
      </c>
      <c r="AQ56" s="91" t="str">
        <f>AQ46</f>
        <v>Итого за 3-й год</v>
      </c>
      <c r="AR56" s="91" t="str">
        <f>AR46</f>
        <v>Среднемесячно за 3-й год</v>
      </c>
      <c r="AS56" s="178" t="str">
        <f>AS46</f>
        <v>Итого за три года</v>
      </c>
    </row>
    <row r="57" spans="1:45" s="78" customFormat="1" ht="10.8" thickTop="1" x14ac:dyDescent="0.35">
      <c r="A57" s="118" t="s">
        <v>14</v>
      </c>
      <c r="B57" s="80" t="str">
        <f>CHOOSE('Исходные данные'!$N$2,'Исходные данные'!$O$2,'Исходные данные'!$O$3,'Исходные данные'!$O$4,'Исходные данные'!$O$5)</f>
        <v>USD</v>
      </c>
      <c r="C57" s="81">
        <f t="shared" ref="C57:N57" si="100">C47</f>
        <v>1400</v>
      </c>
      <c r="D57" s="81">
        <f t="shared" si="100"/>
        <v>2000</v>
      </c>
      <c r="E57" s="81">
        <f t="shared" si="100"/>
        <v>2250</v>
      </c>
      <c r="F57" s="81">
        <f t="shared" si="100"/>
        <v>3000</v>
      </c>
      <c r="G57" s="81">
        <f t="shared" si="100"/>
        <v>3000</v>
      </c>
      <c r="H57" s="81">
        <f t="shared" si="100"/>
        <v>3500</v>
      </c>
      <c r="I57" s="81">
        <f t="shared" si="100"/>
        <v>4000</v>
      </c>
      <c r="J57" s="81">
        <f t="shared" si="100"/>
        <v>4000</v>
      </c>
      <c r="K57" s="81">
        <f t="shared" si="100"/>
        <v>3000</v>
      </c>
      <c r="L57" s="81">
        <f t="shared" si="100"/>
        <v>3000</v>
      </c>
      <c r="M57" s="81">
        <f t="shared" si="100"/>
        <v>2000</v>
      </c>
      <c r="N57" s="81">
        <f t="shared" si="100"/>
        <v>2000</v>
      </c>
      <c r="O57" s="82">
        <f>SUM(C57:N57)</f>
        <v>33150</v>
      </c>
      <c r="P57" s="82">
        <f>O57/12</f>
        <v>2762.5</v>
      </c>
      <c r="Q57" s="81">
        <f t="shared" ref="Q57:AB57" si="101">Q47</f>
        <v>2400</v>
      </c>
      <c r="R57" s="81">
        <f t="shared" si="101"/>
        <v>3000</v>
      </c>
      <c r="S57" s="81">
        <f t="shared" si="101"/>
        <v>3000</v>
      </c>
      <c r="T57" s="81">
        <f t="shared" si="101"/>
        <v>3600</v>
      </c>
      <c r="U57" s="81">
        <f t="shared" si="101"/>
        <v>3600</v>
      </c>
      <c r="V57" s="81">
        <f t="shared" si="101"/>
        <v>4200</v>
      </c>
      <c r="W57" s="81">
        <f t="shared" si="101"/>
        <v>4800</v>
      </c>
      <c r="X57" s="81">
        <f t="shared" si="101"/>
        <v>4800</v>
      </c>
      <c r="Y57" s="81">
        <f t="shared" si="101"/>
        <v>3600</v>
      </c>
      <c r="Z57" s="81">
        <f t="shared" si="101"/>
        <v>3600</v>
      </c>
      <c r="AA57" s="81">
        <f t="shared" si="101"/>
        <v>2400</v>
      </c>
      <c r="AB57" s="81">
        <f t="shared" si="101"/>
        <v>2400</v>
      </c>
      <c r="AC57" s="82">
        <f>SUM(Q57:AB57)</f>
        <v>41400</v>
      </c>
      <c r="AD57" s="82">
        <f>AC57/12</f>
        <v>3450</v>
      </c>
      <c r="AE57" s="81">
        <f t="shared" ref="AE57:AP57" si="102">AE47</f>
        <v>2800</v>
      </c>
      <c r="AF57" s="81">
        <f t="shared" si="102"/>
        <v>3500</v>
      </c>
      <c r="AG57" s="81">
        <f t="shared" si="102"/>
        <v>3500</v>
      </c>
      <c r="AH57" s="81">
        <f t="shared" si="102"/>
        <v>4200</v>
      </c>
      <c r="AI57" s="81">
        <f t="shared" si="102"/>
        <v>4200</v>
      </c>
      <c r="AJ57" s="81">
        <f t="shared" si="102"/>
        <v>4900</v>
      </c>
      <c r="AK57" s="81">
        <f t="shared" si="102"/>
        <v>5600</v>
      </c>
      <c r="AL57" s="81">
        <f t="shared" si="102"/>
        <v>5600</v>
      </c>
      <c r="AM57" s="81">
        <f t="shared" si="102"/>
        <v>4200</v>
      </c>
      <c r="AN57" s="81">
        <f t="shared" si="102"/>
        <v>4200</v>
      </c>
      <c r="AO57" s="81">
        <f t="shared" si="102"/>
        <v>2800</v>
      </c>
      <c r="AP57" s="81">
        <f t="shared" si="102"/>
        <v>2800</v>
      </c>
      <c r="AQ57" s="82">
        <f>SUM(AE57:AP57)</f>
        <v>48300</v>
      </c>
      <c r="AR57" s="82">
        <f>AQ57/12</f>
        <v>4025</v>
      </c>
      <c r="AS57" s="119">
        <f>O57+AC57+AQ57</f>
        <v>122850</v>
      </c>
    </row>
    <row r="58" spans="1:45" s="78" customFormat="1" ht="10.5" x14ac:dyDescent="0.35">
      <c r="A58" s="118" t="s">
        <v>1</v>
      </c>
      <c r="B58" s="80" t="str">
        <f>CHOOSE('Исходные данные'!$N$2,'Исходные данные'!$O$2,'Исходные данные'!$O$3,'Исходные данные'!$O$4,'Исходные данные'!$O$5)</f>
        <v>USD</v>
      </c>
      <c r="C58" s="81">
        <f>-(C44)</f>
        <v>-172.66666666666666</v>
      </c>
      <c r="D58" s="81">
        <f t="shared" ref="D58:N58" si="103">-(D44)</f>
        <v>-196.66666666666666</v>
      </c>
      <c r="E58" s="81">
        <f t="shared" si="103"/>
        <v>-206.66666666666666</v>
      </c>
      <c r="F58" s="81">
        <f t="shared" si="103"/>
        <v>-236.66666666666666</v>
      </c>
      <c r="G58" s="81">
        <f t="shared" si="103"/>
        <v>-236.66666666666666</v>
      </c>
      <c r="H58" s="81">
        <f t="shared" si="103"/>
        <v>-256.66666666666669</v>
      </c>
      <c r="I58" s="81">
        <f t="shared" si="103"/>
        <v>-276.66666666666663</v>
      </c>
      <c r="J58" s="81">
        <f t="shared" si="103"/>
        <v>-276.66666666666663</v>
      </c>
      <c r="K58" s="81">
        <f t="shared" si="103"/>
        <v>-236.66666666666666</v>
      </c>
      <c r="L58" s="81">
        <f t="shared" si="103"/>
        <v>-236.66666666666666</v>
      </c>
      <c r="M58" s="81">
        <f t="shared" si="103"/>
        <v>-196.66666666666666</v>
      </c>
      <c r="N58" s="81">
        <f t="shared" si="103"/>
        <v>-196.66666666666666</v>
      </c>
      <c r="O58" s="82">
        <f>SUM(C58:N58)</f>
        <v>-2725.9999999999991</v>
      </c>
      <c r="P58" s="82">
        <f>O58/12</f>
        <v>-227.1666666666666</v>
      </c>
      <c r="Q58" s="81">
        <f>-(Q44)</f>
        <v>-212.66666666666666</v>
      </c>
      <c r="R58" s="81">
        <f t="shared" ref="R58:AB58" si="104">-(R44)</f>
        <v>-236.66666666666666</v>
      </c>
      <c r="S58" s="81">
        <f t="shared" si="104"/>
        <v>-236.66666666666666</v>
      </c>
      <c r="T58" s="81">
        <f t="shared" si="104"/>
        <v>-260.66666666666669</v>
      </c>
      <c r="U58" s="81">
        <f t="shared" si="104"/>
        <v>-260.66666666666669</v>
      </c>
      <c r="V58" s="81">
        <f t="shared" si="104"/>
        <v>-284.66666666666663</v>
      </c>
      <c r="W58" s="81">
        <f t="shared" si="104"/>
        <v>-308.66666666666663</v>
      </c>
      <c r="X58" s="81">
        <f t="shared" si="104"/>
        <v>-308.66666666666663</v>
      </c>
      <c r="Y58" s="81">
        <f t="shared" si="104"/>
        <v>-260.66666666666669</v>
      </c>
      <c r="Z58" s="81">
        <f t="shared" si="104"/>
        <v>-260.66666666666669</v>
      </c>
      <c r="AA58" s="81">
        <f t="shared" si="104"/>
        <v>-212.66666666666666</v>
      </c>
      <c r="AB58" s="81">
        <f t="shared" si="104"/>
        <v>-212.66666666666666</v>
      </c>
      <c r="AC58" s="82">
        <f>SUM(Q58:AB58)</f>
        <v>-3055.9999999999991</v>
      </c>
      <c r="AD58" s="82">
        <f>AC58/12</f>
        <v>-254.6666666666666</v>
      </c>
      <c r="AE58" s="81">
        <f>-(AE44)</f>
        <v>-228.66666666666666</v>
      </c>
      <c r="AF58" s="81">
        <f t="shared" ref="AF58:AP58" si="105">-(AF44)</f>
        <v>-256.66666666666669</v>
      </c>
      <c r="AG58" s="81">
        <f t="shared" si="105"/>
        <v>-256.66666666666669</v>
      </c>
      <c r="AH58" s="81">
        <f t="shared" si="105"/>
        <v>-284.66666666666663</v>
      </c>
      <c r="AI58" s="81">
        <f t="shared" si="105"/>
        <v>-284.66666666666663</v>
      </c>
      <c r="AJ58" s="81">
        <f t="shared" si="105"/>
        <v>-312.66666666666663</v>
      </c>
      <c r="AK58" s="81">
        <f t="shared" si="105"/>
        <v>-340.66666666666663</v>
      </c>
      <c r="AL58" s="81">
        <f t="shared" si="105"/>
        <v>-340.66666666666663</v>
      </c>
      <c r="AM58" s="81">
        <f t="shared" si="105"/>
        <v>-284.66666666666663</v>
      </c>
      <c r="AN58" s="81">
        <f t="shared" si="105"/>
        <v>-284.66666666666663</v>
      </c>
      <c r="AO58" s="81">
        <f t="shared" si="105"/>
        <v>-228.66666666666666</v>
      </c>
      <c r="AP58" s="81">
        <f t="shared" si="105"/>
        <v>-228.66666666666666</v>
      </c>
      <c r="AQ58" s="82">
        <f>SUM(AE58:AP58)</f>
        <v>-3331.9999999999986</v>
      </c>
      <c r="AR58" s="82">
        <f>AQ58/12</f>
        <v>-277.66666666666657</v>
      </c>
      <c r="AS58" s="119">
        <f>O58+AC58+AQ58</f>
        <v>-9113.9999999999964</v>
      </c>
    </row>
    <row r="59" spans="1:45" s="78" customFormat="1" ht="10.5" x14ac:dyDescent="0.35">
      <c r="A59" s="118" t="s">
        <v>15</v>
      </c>
      <c r="B59" s="80" t="str">
        <f>CHOOSE('Исходные данные'!$N$2,'Исходные данные'!$O$2,'Исходные данные'!$O$3,'Исходные данные'!$O$4,'Исходные данные'!$O$5)</f>
        <v>USD</v>
      </c>
      <c r="C59" s="81">
        <f t="shared" ref="C59:N59" si="106">SUM(C57:C58)</f>
        <v>1227.3333333333333</v>
      </c>
      <c r="D59" s="81">
        <f t="shared" si="106"/>
        <v>1803.3333333333333</v>
      </c>
      <c r="E59" s="81">
        <f t="shared" si="106"/>
        <v>2043.3333333333333</v>
      </c>
      <c r="F59" s="81">
        <f t="shared" si="106"/>
        <v>2763.3333333333335</v>
      </c>
      <c r="G59" s="81">
        <f t="shared" si="106"/>
        <v>2763.3333333333335</v>
      </c>
      <c r="H59" s="81">
        <f t="shared" si="106"/>
        <v>3243.3333333333335</v>
      </c>
      <c r="I59" s="81">
        <f t="shared" si="106"/>
        <v>3723.3333333333335</v>
      </c>
      <c r="J59" s="81">
        <f t="shared" si="106"/>
        <v>3723.3333333333335</v>
      </c>
      <c r="K59" s="81">
        <f t="shared" si="106"/>
        <v>2763.3333333333335</v>
      </c>
      <c r="L59" s="81">
        <f t="shared" si="106"/>
        <v>2763.3333333333335</v>
      </c>
      <c r="M59" s="81">
        <f t="shared" si="106"/>
        <v>1803.3333333333333</v>
      </c>
      <c r="N59" s="81">
        <f t="shared" si="106"/>
        <v>1803.3333333333333</v>
      </c>
      <c r="O59" s="82">
        <f>SUM(C59:N59)</f>
        <v>30423.999999999996</v>
      </c>
      <c r="P59" s="82">
        <f>O59/12</f>
        <v>2535.333333333333</v>
      </c>
      <c r="Q59" s="81">
        <f t="shared" ref="Q59:AB59" si="107">SUM(Q57:Q58)</f>
        <v>2187.3333333333335</v>
      </c>
      <c r="R59" s="81">
        <f t="shared" si="107"/>
        <v>2763.3333333333335</v>
      </c>
      <c r="S59" s="81">
        <f t="shared" si="107"/>
        <v>2763.3333333333335</v>
      </c>
      <c r="T59" s="81">
        <f t="shared" si="107"/>
        <v>3339.3333333333335</v>
      </c>
      <c r="U59" s="81">
        <f t="shared" si="107"/>
        <v>3339.3333333333335</v>
      </c>
      <c r="V59" s="81">
        <f t="shared" si="107"/>
        <v>3915.3333333333335</v>
      </c>
      <c r="W59" s="81">
        <f t="shared" si="107"/>
        <v>4491.333333333333</v>
      </c>
      <c r="X59" s="81">
        <f t="shared" si="107"/>
        <v>4491.333333333333</v>
      </c>
      <c r="Y59" s="81">
        <f t="shared" si="107"/>
        <v>3339.3333333333335</v>
      </c>
      <c r="Z59" s="81">
        <f t="shared" si="107"/>
        <v>3339.3333333333335</v>
      </c>
      <c r="AA59" s="81">
        <f t="shared" si="107"/>
        <v>2187.3333333333335</v>
      </c>
      <c r="AB59" s="81">
        <f t="shared" si="107"/>
        <v>2187.3333333333335</v>
      </c>
      <c r="AC59" s="82">
        <f>SUM(Q59:AB59)</f>
        <v>38344</v>
      </c>
      <c r="AD59" s="82">
        <f>AC59/12</f>
        <v>3195.3333333333335</v>
      </c>
      <c r="AE59" s="81">
        <f t="shared" ref="AE59:AP59" si="108">SUM(AE57:AE58)</f>
        <v>2571.3333333333335</v>
      </c>
      <c r="AF59" s="81">
        <f t="shared" si="108"/>
        <v>3243.3333333333335</v>
      </c>
      <c r="AG59" s="81">
        <f t="shared" si="108"/>
        <v>3243.3333333333335</v>
      </c>
      <c r="AH59" s="81">
        <f t="shared" si="108"/>
        <v>3915.3333333333335</v>
      </c>
      <c r="AI59" s="81">
        <f t="shared" si="108"/>
        <v>3915.3333333333335</v>
      </c>
      <c r="AJ59" s="81">
        <f t="shared" si="108"/>
        <v>4587.333333333333</v>
      </c>
      <c r="AK59" s="81">
        <f t="shared" si="108"/>
        <v>5259.333333333333</v>
      </c>
      <c r="AL59" s="81">
        <f t="shared" si="108"/>
        <v>5259.333333333333</v>
      </c>
      <c r="AM59" s="81">
        <f t="shared" si="108"/>
        <v>3915.3333333333335</v>
      </c>
      <c r="AN59" s="81">
        <f t="shared" si="108"/>
        <v>3915.3333333333335</v>
      </c>
      <c r="AO59" s="81">
        <f t="shared" si="108"/>
        <v>2571.3333333333335</v>
      </c>
      <c r="AP59" s="81">
        <f t="shared" si="108"/>
        <v>2571.3333333333335</v>
      </c>
      <c r="AQ59" s="82">
        <f>SUM(AE59:AP59)</f>
        <v>44968.000000000007</v>
      </c>
      <c r="AR59" s="82">
        <f>AQ59/12</f>
        <v>3747.3333333333339</v>
      </c>
      <c r="AS59" s="119">
        <f>O59+AC59+AQ59</f>
        <v>113736</v>
      </c>
    </row>
    <row r="60" spans="1:45" s="78" customFormat="1" ht="10.5" x14ac:dyDescent="0.35">
      <c r="A60" s="118" t="s">
        <v>16</v>
      </c>
      <c r="B60" s="80" t="str">
        <f>CHOOSE('Исходные данные'!$N$2,'Исходные данные'!$O$2,'Исходные данные'!$O$3,'Исходные данные'!$O$4,'Исходные данные'!$O$5)</f>
        <v>USD</v>
      </c>
      <c r="C60" s="81">
        <f t="shared" ref="C60:N60" si="109">-(C26)</f>
        <v>-3851.8518518518517</v>
      </c>
      <c r="D60" s="81">
        <f t="shared" si="109"/>
        <v>0</v>
      </c>
      <c r="E60" s="81">
        <f t="shared" si="109"/>
        <v>0</v>
      </c>
      <c r="F60" s="81">
        <f t="shared" si="109"/>
        <v>0</v>
      </c>
      <c r="G60" s="81">
        <f t="shared" si="109"/>
        <v>0</v>
      </c>
      <c r="H60" s="81">
        <f t="shared" si="109"/>
        <v>0</v>
      </c>
      <c r="I60" s="81">
        <f t="shared" si="109"/>
        <v>0</v>
      </c>
      <c r="J60" s="81">
        <f t="shared" si="109"/>
        <v>0</v>
      </c>
      <c r="K60" s="81">
        <f t="shared" si="109"/>
        <v>0</v>
      </c>
      <c r="L60" s="81">
        <f t="shared" si="109"/>
        <v>0</v>
      </c>
      <c r="M60" s="81">
        <f t="shared" si="109"/>
        <v>0</v>
      </c>
      <c r="N60" s="81">
        <f t="shared" si="109"/>
        <v>0</v>
      </c>
      <c r="O60" s="82">
        <f>SUM(C60:N60)</f>
        <v>-3851.8518518518517</v>
      </c>
      <c r="P60" s="82"/>
      <c r="Q60" s="81">
        <f t="shared" ref="Q60:AB60" si="110">-(Q26)</f>
        <v>0</v>
      </c>
      <c r="R60" s="81">
        <f t="shared" si="110"/>
        <v>0</v>
      </c>
      <c r="S60" s="81">
        <f t="shared" si="110"/>
        <v>0</v>
      </c>
      <c r="T60" s="81">
        <f t="shared" si="110"/>
        <v>0</v>
      </c>
      <c r="U60" s="81">
        <f t="shared" si="110"/>
        <v>0</v>
      </c>
      <c r="V60" s="81">
        <f t="shared" si="110"/>
        <v>0</v>
      </c>
      <c r="W60" s="81">
        <f t="shared" si="110"/>
        <v>0</v>
      </c>
      <c r="X60" s="81">
        <f t="shared" si="110"/>
        <v>0</v>
      </c>
      <c r="Y60" s="81">
        <f t="shared" si="110"/>
        <v>0</v>
      </c>
      <c r="Z60" s="81">
        <f t="shared" si="110"/>
        <v>0</v>
      </c>
      <c r="AA60" s="81">
        <f t="shared" si="110"/>
        <v>0</v>
      </c>
      <c r="AB60" s="81">
        <f t="shared" si="110"/>
        <v>0</v>
      </c>
      <c r="AC60" s="82">
        <f>SUM(Q60:AB60)</f>
        <v>0</v>
      </c>
      <c r="AD60" s="82"/>
      <c r="AE60" s="81">
        <f t="shared" ref="AE60:AP60" si="111">-(AE26)</f>
        <v>0</v>
      </c>
      <c r="AF60" s="81">
        <f t="shared" si="111"/>
        <v>0</v>
      </c>
      <c r="AG60" s="81">
        <f t="shared" si="111"/>
        <v>0</v>
      </c>
      <c r="AH60" s="81">
        <f t="shared" si="111"/>
        <v>0</v>
      </c>
      <c r="AI60" s="81">
        <f t="shared" si="111"/>
        <v>0</v>
      </c>
      <c r="AJ60" s="81">
        <f t="shared" si="111"/>
        <v>0</v>
      </c>
      <c r="AK60" s="81">
        <f t="shared" si="111"/>
        <v>0</v>
      </c>
      <c r="AL60" s="81">
        <f t="shared" si="111"/>
        <v>0</v>
      </c>
      <c r="AM60" s="81">
        <f t="shared" si="111"/>
        <v>0</v>
      </c>
      <c r="AN60" s="81">
        <f t="shared" si="111"/>
        <v>0</v>
      </c>
      <c r="AO60" s="81">
        <f t="shared" si="111"/>
        <v>0</v>
      </c>
      <c r="AP60" s="81">
        <f t="shared" si="111"/>
        <v>0</v>
      </c>
      <c r="AQ60" s="82">
        <f>SUM(AE60:AP60)</f>
        <v>0</v>
      </c>
      <c r="AR60" s="82"/>
      <c r="AS60" s="119">
        <f>O60+AC60+AQ60</f>
        <v>-3851.8518518518517</v>
      </c>
    </row>
    <row r="61" spans="1:45" s="122" customFormat="1" ht="10.5" x14ac:dyDescent="0.35">
      <c r="A61" s="118" t="s">
        <v>17</v>
      </c>
      <c r="B61" s="111" t="str">
        <f>CHOOSE('Исходные данные'!$N$2,'Исходные данные'!$O$2,'Исходные данные'!$O$3,'Исходные данные'!$O$4,'Исходные данные'!$O$5)</f>
        <v>USD</v>
      </c>
      <c r="C61" s="120">
        <f t="shared" ref="C61:N61" si="112">C26</f>
        <v>3851.8518518518517</v>
      </c>
      <c r="D61" s="120">
        <f t="shared" si="112"/>
        <v>0</v>
      </c>
      <c r="E61" s="120">
        <f t="shared" si="112"/>
        <v>0</v>
      </c>
      <c r="F61" s="120">
        <f t="shared" si="112"/>
        <v>0</v>
      </c>
      <c r="G61" s="120">
        <f t="shared" si="112"/>
        <v>0</v>
      </c>
      <c r="H61" s="120">
        <f t="shared" si="112"/>
        <v>0</v>
      </c>
      <c r="I61" s="120">
        <f t="shared" si="112"/>
        <v>0</v>
      </c>
      <c r="J61" s="120">
        <f t="shared" si="112"/>
        <v>0</v>
      </c>
      <c r="K61" s="120">
        <f t="shared" si="112"/>
        <v>0</v>
      </c>
      <c r="L61" s="120">
        <f t="shared" si="112"/>
        <v>0</v>
      </c>
      <c r="M61" s="120">
        <f t="shared" si="112"/>
        <v>0</v>
      </c>
      <c r="N61" s="120">
        <f t="shared" si="112"/>
        <v>0</v>
      </c>
      <c r="O61" s="82">
        <f>SUM(C61:N61)</f>
        <v>3851.8518518518517</v>
      </c>
      <c r="P61" s="82"/>
      <c r="Q61" s="120">
        <f t="shared" ref="Q61:AB61" si="113">Q26</f>
        <v>0</v>
      </c>
      <c r="R61" s="120">
        <f t="shared" si="113"/>
        <v>0</v>
      </c>
      <c r="S61" s="120">
        <f t="shared" si="113"/>
        <v>0</v>
      </c>
      <c r="T61" s="120">
        <f t="shared" si="113"/>
        <v>0</v>
      </c>
      <c r="U61" s="120">
        <f t="shared" si="113"/>
        <v>0</v>
      </c>
      <c r="V61" s="120">
        <f t="shared" si="113"/>
        <v>0</v>
      </c>
      <c r="W61" s="120">
        <f t="shared" si="113"/>
        <v>0</v>
      </c>
      <c r="X61" s="120">
        <f t="shared" si="113"/>
        <v>0</v>
      </c>
      <c r="Y61" s="120">
        <f t="shared" si="113"/>
        <v>0</v>
      </c>
      <c r="Z61" s="120">
        <f t="shared" si="113"/>
        <v>0</v>
      </c>
      <c r="AA61" s="120">
        <f t="shared" si="113"/>
        <v>0</v>
      </c>
      <c r="AB61" s="120">
        <f t="shared" si="113"/>
        <v>0</v>
      </c>
      <c r="AC61" s="82">
        <f>SUM(Q61:AB61)</f>
        <v>0</v>
      </c>
      <c r="AD61" s="82"/>
      <c r="AE61" s="120">
        <f t="shared" ref="AE61:AP61" si="114">AE26</f>
        <v>0</v>
      </c>
      <c r="AF61" s="120">
        <f t="shared" si="114"/>
        <v>0</v>
      </c>
      <c r="AG61" s="120">
        <f t="shared" si="114"/>
        <v>0</v>
      </c>
      <c r="AH61" s="120">
        <f t="shared" si="114"/>
        <v>0</v>
      </c>
      <c r="AI61" s="120">
        <f t="shared" si="114"/>
        <v>0</v>
      </c>
      <c r="AJ61" s="120">
        <f t="shared" si="114"/>
        <v>0</v>
      </c>
      <c r="AK61" s="120">
        <f t="shared" si="114"/>
        <v>0</v>
      </c>
      <c r="AL61" s="120">
        <f t="shared" si="114"/>
        <v>0</v>
      </c>
      <c r="AM61" s="120">
        <f t="shared" si="114"/>
        <v>0</v>
      </c>
      <c r="AN61" s="120">
        <f t="shared" si="114"/>
        <v>0</v>
      </c>
      <c r="AO61" s="120">
        <f t="shared" si="114"/>
        <v>0</v>
      </c>
      <c r="AP61" s="120">
        <f t="shared" si="114"/>
        <v>0</v>
      </c>
      <c r="AQ61" s="82">
        <f>SUM(AE61:AP61)</f>
        <v>0</v>
      </c>
      <c r="AR61" s="82"/>
      <c r="AS61" s="121">
        <f>O61+AC61+AQ61</f>
        <v>3851.8518518518517</v>
      </c>
    </row>
    <row r="62" spans="1:45" s="78" customFormat="1" ht="10.5" x14ac:dyDescent="0.35">
      <c r="A62" s="118" t="s">
        <v>18</v>
      </c>
      <c r="B62" s="80" t="str">
        <f>CHOOSE('Исходные данные'!$N$2,'Исходные данные'!$O$2,'Исходные данные'!$O$3,'Исходные данные'!$O$4,'Исходные данные'!$O$5)</f>
        <v>USD</v>
      </c>
      <c r="C62" s="81">
        <v>0</v>
      </c>
      <c r="D62" s="81">
        <f>C63</f>
        <v>1227.3333333333335</v>
      </c>
      <c r="E62" s="81">
        <f t="shared" ref="E62:N62" si="115">D63</f>
        <v>3030.666666666667</v>
      </c>
      <c r="F62" s="81">
        <f t="shared" si="115"/>
        <v>5074</v>
      </c>
      <c r="G62" s="81">
        <f t="shared" si="115"/>
        <v>7837.3333333333339</v>
      </c>
      <c r="H62" s="81">
        <f t="shared" si="115"/>
        <v>10600.666666666668</v>
      </c>
      <c r="I62" s="81">
        <f t="shared" si="115"/>
        <v>13844.000000000002</v>
      </c>
      <c r="J62" s="81">
        <f t="shared" si="115"/>
        <v>17567.333333333336</v>
      </c>
      <c r="K62" s="81">
        <f t="shared" si="115"/>
        <v>21290.666666666668</v>
      </c>
      <c r="L62" s="81">
        <f t="shared" si="115"/>
        <v>24054</v>
      </c>
      <c r="M62" s="81">
        <f t="shared" si="115"/>
        <v>26817.333333333332</v>
      </c>
      <c r="N62" s="81">
        <f t="shared" si="115"/>
        <v>28620.666666666664</v>
      </c>
      <c r="O62" s="82">
        <f>C62</f>
        <v>0</v>
      </c>
      <c r="P62" s="82"/>
      <c r="Q62" s="81">
        <f>N63</f>
        <v>30423.999999999996</v>
      </c>
      <c r="R62" s="81">
        <f t="shared" ref="R62:AB62" si="116">Q63</f>
        <v>32611.333333333328</v>
      </c>
      <c r="S62" s="81">
        <f t="shared" si="116"/>
        <v>35374.666666666664</v>
      </c>
      <c r="T62" s="81">
        <f t="shared" si="116"/>
        <v>38138</v>
      </c>
      <c r="U62" s="81">
        <f t="shared" si="116"/>
        <v>41477.333333333336</v>
      </c>
      <c r="V62" s="81">
        <f t="shared" si="116"/>
        <v>44816.666666666672</v>
      </c>
      <c r="W62" s="81">
        <f t="shared" si="116"/>
        <v>48732.000000000007</v>
      </c>
      <c r="X62" s="81">
        <f t="shared" si="116"/>
        <v>53223.333333333343</v>
      </c>
      <c r="Y62" s="81">
        <f t="shared" si="116"/>
        <v>57714.666666666679</v>
      </c>
      <c r="Z62" s="81">
        <f t="shared" si="116"/>
        <v>61054.000000000015</v>
      </c>
      <c r="AA62" s="81">
        <f t="shared" si="116"/>
        <v>64393.33333333335</v>
      </c>
      <c r="AB62" s="81">
        <f t="shared" si="116"/>
        <v>66580.666666666686</v>
      </c>
      <c r="AC62" s="82">
        <f>Q62</f>
        <v>30423.999999999996</v>
      </c>
      <c r="AD62" s="82"/>
      <c r="AE62" s="81">
        <f>AB63</f>
        <v>68768.000000000015</v>
      </c>
      <c r="AF62" s="81">
        <f t="shared" ref="AF62:AP62" si="117">AE63</f>
        <v>71339.333333333343</v>
      </c>
      <c r="AG62" s="81">
        <f t="shared" si="117"/>
        <v>74582.666666666672</v>
      </c>
      <c r="AH62" s="81">
        <f t="shared" si="117"/>
        <v>77826</v>
      </c>
      <c r="AI62" s="81">
        <f t="shared" si="117"/>
        <v>81741.333333333328</v>
      </c>
      <c r="AJ62" s="81">
        <f t="shared" si="117"/>
        <v>85656.666666666657</v>
      </c>
      <c r="AK62" s="81">
        <f t="shared" si="117"/>
        <v>90243.999999999985</v>
      </c>
      <c r="AL62" s="81">
        <f t="shared" si="117"/>
        <v>95503.333333333314</v>
      </c>
      <c r="AM62" s="81">
        <f t="shared" si="117"/>
        <v>100762.66666666664</v>
      </c>
      <c r="AN62" s="81">
        <f t="shared" si="117"/>
        <v>104677.99999999997</v>
      </c>
      <c r="AO62" s="81">
        <f t="shared" si="117"/>
        <v>108593.3333333333</v>
      </c>
      <c r="AP62" s="81">
        <f t="shared" si="117"/>
        <v>111164.66666666663</v>
      </c>
      <c r="AQ62" s="82">
        <f>AE62</f>
        <v>68768.000000000015</v>
      </c>
      <c r="AR62" s="82"/>
      <c r="AS62" s="119">
        <f>O62</f>
        <v>0</v>
      </c>
    </row>
    <row r="63" spans="1:45" s="78" customFormat="1" ht="10.5" x14ac:dyDescent="0.35">
      <c r="A63" s="118" t="s">
        <v>19</v>
      </c>
      <c r="B63" s="80" t="str">
        <f>CHOOSE('Исходные данные'!$N$2,'Исходные данные'!$O$2,'Исходные данные'!$O$3,'Исходные данные'!$O$4,'Исходные данные'!$O$5)</f>
        <v>USD</v>
      </c>
      <c r="C63" s="81">
        <f>C59+C60+C61+C62</f>
        <v>1227.3333333333335</v>
      </c>
      <c r="D63" s="81">
        <f>D59+D60+D61+D62</f>
        <v>3030.666666666667</v>
      </c>
      <c r="E63" s="81">
        <f t="shared" ref="E63:N63" si="118">E59+E60+E61+E62</f>
        <v>5074</v>
      </c>
      <c r="F63" s="81">
        <f t="shared" si="118"/>
        <v>7837.3333333333339</v>
      </c>
      <c r="G63" s="81">
        <f t="shared" si="118"/>
        <v>10600.666666666668</v>
      </c>
      <c r="H63" s="81">
        <f t="shared" si="118"/>
        <v>13844.000000000002</v>
      </c>
      <c r="I63" s="81">
        <f t="shared" si="118"/>
        <v>17567.333333333336</v>
      </c>
      <c r="J63" s="81">
        <f t="shared" si="118"/>
        <v>21290.666666666668</v>
      </c>
      <c r="K63" s="81">
        <f t="shared" si="118"/>
        <v>24054</v>
      </c>
      <c r="L63" s="81">
        <f t="shared" si="118"/>
        <v>26817.333333333332</v>
      </c>
      <c r="M63" s="81">
        <f t="shared" si="118"/>
        <v>28620.666666666664</v>
      </c>
      <c r="N63" s="81">
        <f t="shared" si="118"/>
        <v>30423.999999999996</v>
      </c>
      <c r="O63" s="82">
        <f>N63</f>
        <v>30423.999999999996</v>
      </c>
      <c r="P63" s="82"/>
      <c r="Q63" s="81">
        <f>Q59+Q60+Q61+Q62</f>
        <v>32611.333333333328</v>
      </c>
      <c r="R63" s="81">
        <f>R59+R60+R61+R62</f>
        <v>35374.666666666664</v>
      </c>
      <c r="S63" s="81">
        <f t="shared" ref="S63:AB63" si="119">S59+S60+S61+S62</f>
        <v>38138</v>
      </c>
      <c r="T63" s="81">
        <f t="shared" si="119"/>
        <v>41477.333333333336</v>
      </c>
      <c r="U63" s="81">
        <f t="shared" si="119"/>
        <v>44816.666666666672</v>
      </c>
      <c r="V63" s="81">
        <f t="shared" si="119"/>
        <v>48732.000000000007</v>
      </c>
      <c r="W63" s="81">
        <f t="shared" si="119"/>
        <v>53223.333333333343</v>
      </c>
      <c r="X63" s="81">
        <f t="shared" si="119"/>
        <v>57714.666666666679</v>
      </c>
      <c r="Y63" s="81">
        <f t="shared" si="119"/>
        <v>61054.000000000015</v>
      </c>
      <c r="Z63" s="81">
        <f t="shared" si="119"/>
        <v>64393.33333333335</v>
      </c>
      <c r="AA63" s="81">
        <f t="shared" si="119"/>
        <v>66580.666666666686</v>
      </c>
      <c r="AB63" s="81">
        <f t="shared" si="119"/>
        <v>68768.000000000015</v>
      </c>
      <c r="AC63" s="82">
        <f>AB63</f>
        <v>68768.000000000015</v>
      </c>
      <c r="AD63" s="82"/>
      <c r="AE63" s="81">
        <f>AE59+AE60+AE61+AE62</f>
        <v>71339.333333333343</v>
      </c>
      <c r="AF63" s="81">
        <f>AF59+AF60+AF61+AF62</f>
        <v>74582.666666666672</v>
      </c>
      <c r="AG63" s="81">
        <f t="shared" ref="AG63:AP63" si="120">AG59+AG60+AG61+AG62</f>
        <v>77826</v>
      </c>
      <c r="AH63" s="81">
        <f t="shared" si="120"/>
        <v>81741.333333333328</v>
      </c>
      <c r="AI63" s="81">
        <f t="shared" si="120"/>
        <v>85656.666666666657</v>
      </c>
      <c r="AJ63" s="81">
        <f t="shared" si="120"/>
        <v>90243.999999999985</v>
      </c>
      <c r="AK63" s="81">
        <f t="shared" si="120"/>
        <v>95503.333333333314</v>
      </c>
      <c r="AL63" s="81">
        <f t="shared" si="120"/>
        <v>100762.66666666664</v>
      </c>
      <c r="AM63" s="81">
        <f t="shared" si="120"/>
        <v>104677.99999999997</v>
      </c>
      <c r="AN63" s="81">
        <f t="shared" si="120"/>
        <v>108593.3333333333</v>
      </c>
      <c r="AO63" s="81">
        <f t="shared" si="120"/>
        <v>111164.66666666663</v>
      </c>
      <c r="AP63" s="81">
        <f t="shared" si="120"/>
        <v>113735.99999999996</v>
      </c>
      <c r="AQ63" s="82">
        <f>AP63</f>
        <v>113735.99999999996</v>
      </c>
      <c r="AR63" s="82"/>
      <c r="AS63" s="119">
        <f>AQ63</f>
        <v>113735.99999999996</v>
      </c>
    </row>
    <row r="64" spans="1:45" s="72" customFormat="1" ht="10.8" thickBot="1" x14ac:dyDescent="0.45">
      <c r="O64" s="89"/>
      <c r="P64" s="89"/>
      <c r="AC64" s="89"/>
      <c r="AD64" s="89"/>
      <c r="AQ64" s="89"/>
      <c r="AR64" s="89"/>
    </row>
    <row r="65" spans="1:45" s="72" customFormat="1" ht="11.1" thickTop="1" thickBot="1" x14ac:dyDescent="0.4">
      <c r="A65" s="68" t="s">
        <v>20</v>
      </c>
      <c r="B65" s="69"/>
      <c r="C65" s="69" t="str">
        <f t="shared" ref="C65:AP65" si="121">C$5</f>
        <v>январь</v>
      </c>
      <c r="D65" s="69" t="str">
        <f t="shared" si="121"/>
        <v>февраль</v>
      </c>
      <c r="E65" s="69" t="str">
        <f t="shared" si="121"/>
        <v>март</v>
      </c>
      <c r="F65" s="69" t="str">
        <f t="shared" si="121"/>
        <v>апрель</v>
      </c>
      <c r="G65" s="69" t="str">
        <f t="shared" si="121"/>
        <v>май</v>
      </c>
      <c r="H65" s="69" t="str">
        <f t="shared" si="121"/>
        <v>июнь</v>
      </c>
      <c r="I65" s="69" t="str">
        <f t="shared" si="121"/>
        <v>июль</v>
      </c>
      <c r="J65" s="69" t="str">
        <f t="shared" si="121"/>
        <v>август</v>
      </c>
      <c r="K65" s="69" t="str">
        <f t="shared" si="121"/>
        <v>сентябрь</v>
      </c>
      <c r="L65" s="69" t="str">
        <f t="shared" si="121"/>
        <v>октябрь</v>
      </c>
      <c r="M65" s="69" t="str">
        <f t="shared" si="121"/>
        <v>ноябрь</v>
      </c>
      <c r="N65" s="69" t="str">
        <f t="shared" si="121"/>
        <v>декабрь</v>
      </c>
      <c r="O65" s="123"/>
      <c r="P65" s="123"/>
      <c r="Q65" s="69" t="str">
        <f t="shared" si="121"/>
        <v>январь</v>
      </c>
      <c r="R65" s="69" t="str">
        <f t="shared" si="121"/>
        <v>февраль</v>
      </c>
      <c r="S65" s="69" t="str">
        <f t="shared" si="121"/>
        <v>март</v>
      </c>
      <c r="T65" s="69" t="str">
        <f t="shared" si="121"/>
        <v>апрель</v>
      </c>
      <c r="U65" s="69" t="str">
        <f t="shared" si="121"/>
        <v>май</v>
      </c>
      <c r="V65" s="69" t="str">
        <f t="shared" si="121"/>
        <v>июнь</v>
      </c>
      <c r="W65" s="69" t="str">
        <f t="shared" si="121"/>
        <v>июль</v>
      </c>
      <c r="X65" s="69" t="str">
        <f t="shared" si="121"/>
        <v>август</v>
      </c>
      <c r="Y65" s="69" t="str">
        <f t="shared" si="121"/>
        <v>сентябрь</v>
      </c>
      <c r="Z65" s="69" t="str">
        <f t="shared" si="121"/>
        <v>октябрь</v>
      </c>
      <c r="AA65" s="69" t="str">
        <f t="shared" si="121"/>
        <v>ноябрь</v>
      </c>
      <c r="AB65" s="69" t="str">
        <f t="shared" si="121"/>
        <v>декабрь</v>
      </c>
      <c r="AC65" s="123"/>
      <c r="AD65" s="123"/>
      <c r="AE65" s="69" t="str">
        <f t="shared" si="121"/>
        <v>январь</v>
      </c>
      <c r="AF65" s="69" t="str">
        <f t="shared" si="121"/>
        <v>февраль</v>
      </c>
      <c r="AG65" s="69" t="str">
        <f t="shared" si="121"/>
        <v>март</v>
      </c>
      <c r="AH65" s="69" t="str">
        <f t="shared" si="121"/>
        <v>апрель</v>
      </c>
      <c r="AI65" s="69" t="str">
        <f t="shared" si="121"/>
        <v>май</v>
      </c>
      <c r="AJ65" s="69" t="str">
        <f t="shared" si="121"/>
        <v>июнь</v>
      </c>
      <c r="AK65" s="69" t="str">
        <f t="shared" si="121"/>
        <v>июль</v>
      </c>
      <c r="AL65" s="69" t="str">
        <f t="shared" si="121"/>
        <v>август</v>
      </c>
      <c r="AM65" s="69" t="str">
        <f t="shared" si="121"/>
        <v>сентябрь</v>
      </c>
      <c r="AN65" s="69" t="str">
        <f t="shared" si="121"/>
        <v>октябрь</v>
      </c>
      <c r="AO65" s="69" t="str">
        <f t="shared" si="121"/>
        <v>ноябрь</v>
      </c>
      <c r="AP65" s="69" t="str">
        <f t="shared" si="121"/>
        <v>декабрь</v>
      </c>
      <c r="AQ65" s="123"/>
      <c r="AR65" s="123"/>
      <c r="AS65" s="69"/>
    </row>
    <row r="66" spans="1:45" s="72" customFormat="1" ht="14.1" thickTop="1" x14ac:dyDescent="0.4">
      <c r="A66" s="124"/>
      <c r="B66" s="125"/>
      <c r="C66" s="124"/>
      <c r="D66" s="124"/>
      <c r="E66" s="124"/>
      <c r="F66" s="124"/>
      <c r="G66" s="124"/>
      <c r="H66" s="124"/>
      <c r="I66" s="87"/>
      <c r="O66" s="89"/>
      <c r="P66" s="89"/>
      <c r="Q66" s="124"/>
      <c r="R66" s="124"/>
      <c r="S66" s="124"/>
      <c r="T66" s="124"/>
      <c r="U66" s="124"/>
      <c r="V66" s="124"/>
      <c r="W66" s="87"/>
      <c r="AC66" s="89"/>
      <c r="AD66" s="89"/>
      <c r="AE66" s="124"/>
      <c r="AF66" s="124"/>
      <c r="AG66" s="124"/>
      <c r="AH66" s="124"/>
      <c r="AI66" s="124"/>
      <c r="AJ66" s="124"/>
      <c r="AK66" s="87"/>
      <c r="AQ66" s="89"/>
      <c r="AR66" s="89"/>
      <c r="AS66" s="126"/>
    </row>
    <row r="67" spans="1:45" s="132" customFormat="1" ht="10.5" x14ac:dyDescent="0.35">
      <c r="A67" s="127" t="s">
        <v>82</v>
      </c>
      <c r="B67" s="128">
        <f>'Исходные данные'!I40</f>
        <v>0.1</v>
      </c>
      <c r="C67" s="129">
        <f>1/POWER((1+$B$67/12),C68)</f>
        <v>1</v>
      </c>
      <c r="D67" s="129">
        <f t="shared" ref="D67:N67" si="122">1/POWER((1+$B$67/12),D68)</f>
        <v>0.99173553719008267</v>
      </c>
      <c r="E67" s="129">
        <f t="shared" si="122"/>
        <v>0.98353937572570183</v>
      </c>
      <c r="F67" s="129">
        <f t="shared" si="122"/>
        <v>0.97541095113292753</v>
      </c>
      <c r="G67" s="129">
        <f t="shared" si="122"/>
        <v>0.9673497036029034</v>
      </c>
      <c r="H67" s="129">
        <f t="shared" si="122"/>
        <v>0.95935507795329267</v>
      </c>
      <c r="I67" s="129">
        <f t="shared" si="122"/>
        <v>0.95142652359004232</v>
      </c>
      <c r="J67" s="129">
        <f t="shared" si="122"/>
        <v>0.94356349446946353</v>
      </c>
      <c r="K67" s="129">
        <f t="shared" si="122"/>
        <v>0.93576544906062498</v>
      </c>
      <c r="L67" s="129">
        <f t="shared" si="122"/>
        <v>0.9280318503080579</v>
      </c>
      <c r="M67" s="129">
        <f t="shared" si="122"/>
        <v>0.92036216559476813</v>
      </c>
      <c r="N67" s="129">
        <f t="shared" si="122"/>
        <v>0.91275586670555531</v>
      </c>
      <c r="O67" s="130"/>
      <c r="P67" s="130"/>
      <c r="Q67" s="129">
        <f t="shared" ref="Q67:AB67" si="123">1/POWER((1+$B$67/12),Q68)</f>
        <v>0.90521242979063321</v>
      </c>
      <c r="R67" s="129">
        <f t="shared" si="123"/>
        <v>0.89773133532955385</v>
      </c>
      <c r="S67" s="129">
        <f t="shared" si="123"/>
        <v>0.89031206809542529</v>
      </c>
      <c r="T67" s="129">
        <f t="shared" si="123"/>
        <v>0.88295411711943006</v>
      </c>
      <c r="U67" s="129">
        <f t="shared" si="123"/>
        <v>0.87565697565563305</v>
      </c>
      <c r="V67" s="129">
        <f t="shared" si="123"/>
        <v>0.86842014114608246</v>
      </c>
      <c r="W67" s="129">
        <f t="shared" si="123"/>
        <v>0.86124311518619745</v>
      </c>
      <c r="X67" s="129">
        <f t="shared" si="123"/>
        <v>0.85412540349044375</v>
      </c>
      <c r="Y67" s="129">
        <f t="shared" si="123"/>
        <v>0.84706651585829151</v>
      </c>
      <c r="Z67" s="129">
        <f t="shared" si="123"/>
        <v>0.84006596614045448</v>
      </c>
      <c r="AA67" s="129">
        <f t="shared" si="123"/>
        <v>0.83312327220540916</v>
      </c>
      <c r="AB67" s="129">
        <f t="shared" si="123"/>
        <v>0.82623795590619109</v>
      </c>
      <c r="AC67" s="130"/>
      <c r="AD67" s="130"/>
      <c r="AE67" s="129">
        <f t="shared" ref="AE67:AP67" si="124">1/POWER((1+$B$67/12),AE68)</f>
        <v>0.81940954304746227</v>
      </c>
      <c r="AF67" s="129">
        <f t="shared" si="124"/>
        <v>0.81263756335285531</v>
      </c>
      <c r="AG67" s="129">
        <f t="shared" si="124"/>
        <v>0.80592155043258373</v>
      </c>
      <c r="AH67" s="129">
        <f t="shared" si="124"/>
        <v>0.79926104175132262</v>
      </c>
      <c r="AI67" s="129">
        <f t="shared" si="124"/>
        <v>0.79265557859635305</v>
      </c>
      <c r="AJ67" s="129">
        <f t="shared" si="124"/>
        <v>0.78610470604597016</v>
      </c>
      <c r="AK67" s="129">
        <f t="shared" si="124"/>
        <v>0.77960797293815209</v>
      </c>
      <c r="AL67" s="129">
        <f t="shared" si="124"/>
        <v>0.77316493183948976</v>
      </c>
      <c r="AM67" s="129">
        <f t="shared" si="124"/>
        <v>0.76677513901437</v>
      </c>
      <c r="AN67" s="129">
        <f t="shared" si="124"/>
        <v>0.76043815439441664</v>
      </c>
      <c r="AO67" s="129">
        <f t="shared" si="124"/>
        <v>0.75415354154818171</v>
      </c>
      <c r="AP67" s="129">
        <f t="shared" si="124"/>
        <v>0.74792086765108945</v>
      </c>
      <c r="AQ67" s="130"/>
      <c r="AR67" s="130"/>
      <c r="AS67" s="131"/>
    </row>
    <row r="68" spans="1:45" s="137" customFormat="1" ht="10.5" hidden="1" x14ac:dyDescent="0.4">
      <c r="A68" s="133"/>
      <c r="B68" s="128"/>
      <c r="C68" s="134">
        <v>0</v>
      </c>
      <c r="D68" s="134">
        <v>1</v>
      </c>
      <c r="E68" s="134">
        <v>2</v>
      </c>
      <c r="F68" s="134">
        <v>3</v>
      </c>
      <c r="G68" s="134">
        <v>4</v>
      </c>
      <c r="H68" s="134">
        <v>5</v>
      </c>
      <c r="I68" s="134">
        <v>6</v>
      </c>
      <c r="J68" s="134">
        <v>7</v>
      </c>
      <c r="K68" s="134">
        <v>8</v>
      </c>
      <c r="L68" s="134">
        <v>9</v>
      </c>
      <c r="M68" s="134">
        <v>10</v>
      </c>
      <c r="N68" s="134">
        <v>11</v>
      </c>
      <c r="O68" s="135"/>
      <c r="P68" s="135"/>
      <c r="Q68" s="134">
        <v>12</v>
      </c>
      <c r="R68" s="134">
        <v>13</v>
      </c>
      <c r="S68" s="134">
        <v>14</v>
      </c>
      <c r="T68" s="134">
        <v>15</v>
      </c>
      <c r="U68" s="134">
        <v>16</v>
      </c>
      <c r="V68" s="134">
        <v>17</v>
      </c>
      <c r="W68" s="134">
        <v>18</v>
      </c>
      <c r="X68" s="134">
        <v>19</v>
      </c>
      <c r="Y68" s="134">
        <v>20</v>
      </c>
      <c r="Z68" s="134">
        <v>21</v>
      </c>
      <c r="AA68" s="134">
        <v>22</v>
      </c>
      <c r="AB68" s="134">
        <v>23</v>
      </c>
      <c r="AC68" s="135"/>
      <c r="AD68" s="135"/>
      <c r="AE68" s="134">
        <v>24</v>
      </c>
      <c r="AF68" s="134">
        <v>25</v>
      </c>
      <c r="AG68" s="134">
        <v>26</v>
      </c>
      <c r="AH68" s="134">
        <v>27</v>
      </c>
      <c r="AI68" s="134">
        <v>28</v>
      </c>
      <c r="AJ68" s="134">
        <v>29</v>
      </c>
      <c r="AK68" s="134">
        <v>30</v>
      </c>
      <c r="AL68" s="134">
        <v>31</v>
      </c>
      <c r="AM68" s="134">
        <v>32</v>
      </c>
      <c r="AN68" s="134">
        <v>33</v>
      </c>
      <c r="AO68" s="134">
        <v>34</v>
      </c>
      <c r="AP68" s="134">
        <v>35</v>
      </c>
      <c r="AQ68" s="135"/>
      <c r="AR68" s="135"/>
      <c r="AS68" s="136"/>
    </row>
    <row r="69" spans="1:45" s="137" customFormat="1" ht="10.5" x14ac:dyDescent="0.35">
      <c r="A69" s="117" t="str">
        <f>"Чистый денежный поток (NCF), "&amp;CHOOSE('Исходные данные'!$N$2,'Исходные данные'!$O$2,'Исходные данные'!$O$3,'Исходные данные'!$O$4,'Исходные данные'!$O$5)&amp;""</f>
        <v>Чистый денежный поток (NCF), USD</v>
      </c>
      <c r="B69" s="128"/>
      <c r="C69" s="81">
        <f>C53</f>
        <v>1227.3333333333333</v>
      </c>
      <c r="D69" s="81">
        <f t="shared" ref="D69:N69" si="125">D53</f>
        <v>1803.3333333333333</v>
      </c>
      <c r="E69" s="81">
        <f t="shared" si="125"/>
        <v>2043.3333333333333</v>
      </c>
      <c r="F69" s="81">
        <f t="shared" si="125"/>
        <v>2763.3333333333335</v>
      </c>
      <c r="G69" s="81">
        <f t="shared" si="125"/>
        <v>2763.3333333333335</v>
      </c>
      <c r="H69" s="81">
        <f t="shared" si="125"/>
        <v>3243.3333333333335</v>
      </c>
      <c r="I69" s="81">
        <f t="shared" si="125"/>
        <v>3723.3333333333335</v>
      </c>
      <c r="J69" s="81">
        <f t="shared" si="125"/>
        <v>3723.3333333333335</v>
      </c>
      <c r="K69" s="81">
        <f t="shared" si="125"/>
        <v>2763.3333333333335</v>
      </c>
      <c r="L69" s="81">
        <f t="shared" si="125"/>
        <v>2763.3333333333335</v>
      </c>
      <c r="M69" s="81">
        <f t="shared" si="125"/>
        <v>1803.3333333333333</v>
      </c>
      <c r="N69" s="81">
        <f t="shared" si="125"/>
        <v>1803.3333333333333</v>
      </c>
      <c r="O69" s="135"/>
      <c r="P69" s="135"/>
      <c r="Q69" s="81">
        <f>Q53</f>
        <v>2187.3333333333335</v>
      </c>
      <c r="R69" s="81">
        <f t="shared" ref="R69:AB69" si="126">R53</f>
        <v>2763.3333333333335</v>
      </c>
      <c r="S69" s="81">
        <f t="shared" si="126"/>
        <v>2763.3333333333335</v>
      </c>
      <c r="T69" s="81">
        <f t="shared" si="126"/>
        <v>3339.3333333333335</v>
      </c>
      <c r="U69" s="81">
        <f t="shared" si="126"/>
        <v>3339.3333333333335</v>
      </c>
      <c r="V69" s="81">
        <f t="shared" si="126"/>
        <v>3915.3333333333335</v>
      </c>
      <c r="W69" s="81">
        <f t="shared" si="126"/>
        <v>4491.333333333333</v>
      </c>
      <c r="X69" s="81">
        <f t="shared" si="126"/>
        <v>4491.333333333333</v>
      </c>
      <c r="Y69" s="81">
        <f t="shared" si="126"/>
        <v>3339.3333333333335</v>
      </c>
      <c r="Z69" s="81">
        <f t="shared" si="126"/>
        <v>3339.3333333333335</v>
      </c>
      <c r="AA69" s="81">
        <f t="shared" si="126"/>
        <v>2187.3333333333335</v>
      </c>
      <c r="AB69" s="81">
        <f t="shared" si="126"/>
        <v>2187.3333333333335</v>
      </c>
      <c r="AC69" s="135"/>
      <c r="AD69" s="135"/>
      <c r="AE69" s="81">
        <f>AE53</f>
        <v>2571.3333333333335</v>
      </c>
      <c r="AF69" s="81">
        <f t="shared" ref="AF69:AP69" si="127">AF53</f>
        <v>3243.3333333333335</v>
      </c>
      <c r="AG69" s="81">
        <f t="shared" si="127"/>
        <v>3243.3333333333335</v>
      </c>
      <c r="AH69" s="81">
        <f t="shared" si="127"/>
        <v>3915.3333333333335</v>
      </c>
      <c r="AI69" s="81">
        <f t="shared" si="127"/>
        <v>3915.3333333333335</v>
      </c>
      <c r="AJ69" s="81">
        <f t="shared" si="127"/>
        <v>4587.333333333333</v>
      </c>
      <c r="AK69" s="81">
        <f t="shared" si="127"/>
        <v>5259.333333333333</v>
      </c>
      <c r="AL69" s="81">
        <f t="shared" si="127"/>
        <v>5259.333333333333</v>
      </c>
      <c r="AM69" s="81">
        <f t="shared" si="127"/>
        <v>3915.3333333333335</v>
      </c>
      <c r="AN69" s="81">
        <f t="shared" si="127"/>
        <v>3915.3333333333335</v>
      </c>
      <c r="AO69" s="81">
        <f t="shared" si="127"/>
        <v>2571.3333333333335</v>
      </c>
      <c r="AP69" s="81">
        <f t="shared" si="127"/>
        <v>2571.3333333333335</v>
      </c>
      <c r="AQ69" s="135"/>
      <c r="AR69" s="135"/>
      <c r="AS69" s="136"/>
    </row>
    <row r="70" spans="1:45" s="137" customFormat="1" ht="10.5" x14ac:dyDescent="0.35">
      <c r="A70" s="117" t="str">
        <f>"Чистый денежный поток (NCF) нарастающим итогом, "&amp;CHOOSE('Исходные данные'!$N$2,'Исходные данные'!$O$2,'Исходные данные'!$O$3,'Исходные данные'!$O$4,'Исходные данные'!$O$5)&amp;""</f>
        <v>Чистый денежный поток (NCF) нарастающим итогом, USD</v>
      </c>
      <c r="B70" s="128"/>
      <c r="C70" s="81">
        <f>B70+C69</f>
        <v>1227.3333333333333</v>
      </c>
      <c r="D70" s="81">
        <f t="shared" ref="D70:N70" si="128">C70+D69</f>
        <v>3030.6666666666665</v>
      </c>
      <c r="E70" s="81">
        <f t="shared" si="128"/>
        <v>5074</v>
      </c>
      <c r="F70" s="81">
        <f t="shared" si="128"/>
        <v>7837.3333333333339</v>
      </c>
      <c r="G70" s="81">
        <f t="shared" si="128"/>
        <v>10600.666666666668</v>
      </c>
      <c r="H70" s="81">
        <f t="shared" si="128"/>
        <v>13844.000000000002</v>
      </c>
      <c r="I70" s="81">
        <f t="shared" si="128"/>
        <v>17567.333333333336</v>
      </c>
      <c r="J70" s="81">
        <f t="shared" si="128"/>
        <v>21290.666666666668</v>
      </c>
      <c r="K70" s="81">
        <f t="shared" si="128"/>
        <v>24054</v>
      </c>
      <c r="L70" s="81">
        <f t="shared" si="128"/>
        <v>26817.333333333332</v>
      </c>
      <c r="M70" s="81">
        <f t="shared" si="128"/>
        <v>28620.666666666664</v>
      </c>
      <c r="N70" s="81">
        <f t="shared" si="128"/>
        <v>30423.999999999996</v>
      </c>
      <c r="O70" s="135"/>
      <c r="P70" s="135"/>
      <c r="Q70" s="81">
        <f>N70+Q69</f>
        <v>32611.333333333328</v>
      </c>
      <c r="R70" s="81">
        <f t="shared" ref="R70:AB70" si="129">Q70+R69</f>
        <v>35374.666666666664</v>
      </c>
      <c r="S70" s="81">
        <f t="shared" si="129"/>
        <v>38138</v>
      </c>
      <c r="T70" s="81">
        <f t="shared" si="129"/>
        <v>41477.333333333336</v>
      </c>
      <c r="U70" s="81">
        <f t="shared" si="129"/>
        <v>44816.666666666672</v>
      </c>
      <c r="V70" s="81">
        <f t="shared" si="129"/>
        <v>48732.000000000007</v>
      </c>
      <c r="W70" s="81">
        <f t="shared" si="129"/>
        <v>53223.333333333343</v>
      </c>
      <c r="X70" s="81">
        <f t="shared" si="129"/>
        <v>57714.666666666679</v>
      </c>
      <c r="Y70" s="81">
        <f t="shared" si="129"/>
        <v>61054.000000000015</v>
      </c>
      <c r="Z70" s="81">
        <f t="shared" si="129"/>
        <v>64393.33333333335</v>
      </c>
      <c r="AA70" s="81">
        <f t="shared" si="129"/>
        <v>66580.666666666686</v>
      </c>
      <c r="AB70" s="81">
        <f t="shared" si="129"/>
        <v>68768.000000000015</v>
      </c>
      <c r="AC70" s="135"/>
      <c r="AD70" s="135"/>
      <c r="AE70" s="81">
        <f>AB70+AE69</f>
        <v>71339.333333333343</v>
      </c>
      <c r="AF70" s="81">
        <f t="shared" ref="AF70:AP70" si="130">AE70+AF69</f>
        <v>74582.666666666672</v>
      </c>
      <c r="AG70" s="81">
        <f t="shared" si="130"/>
        <v>77826</v>
      </c>
      <c r="AH70" s="81">
        <f t="shared" si="130"/>
        <v>81741.333333333328</v>
      </c>
      <c r="AI70" s="81">
        <f t="shared" si="130"/>
        <v>85656.666666666657</v>
      </c>
      <c r="AJ70" s="81">
        <f t="shared" si="130"/>
        <v>90243.999999999985</v>
      </c>
      <c r="AK70" s="81">
        <f t="shared" si="130"/>
        <v>95503.333333333314</v>
      </c>
      <c r="AL70" s="81">
        <f t="shared" si="130"/>
        <v>100762.66666666664</v>
      </c>
      <c r="AM70" s="81">
        <f t="shared" si="130"/>
        <v>104677.99999999997</v>
      </c>
      <c r="AN70" s="81">
        <f t="shared" si="130"/>
        <v>108593.3333333333</v>
      </c>
      <c r="AO70" s="81">
        <f t="shared" si="130"/>
        <v>111164.66666666663</v>
      </c>
      <c r="AP70" s="81">
        <f t="shared" si="130"/>
        <v>113735.99999999996</v>
      </c>
      <c r="AQ70" s="135"/>
      <c r="AR70" s="135"/>
      <c r="AS70" s="136"/>
    </row>
    <row r="71" spans="1:45" s="72" customFormat="1" ht="10.5" x14ac:dyDescent="0.35">
      <c r="A71" s="113" t="str">
        <f>"Чистая приведенная стоимость (NPV), "&amp;CHOOSE('Исходные данные'!$N$2,'Исходные данные'!$O$2,'Исходные данные'!$O$3,'Исходные данные'!$O$4,'Исходные данные'!$O$5)&amp;""</f>
        <v>Чистая приведенная стоимость (NPV), USD</v>
      </c>
      <c r="B71" s="88"/>
      <c r="C71" s="81">
        <f>IF(C69*C67&lt;0,C69,C69*C67)</f>
        <v>1227.3333333333333</v>
      </c>
      <c r="D71" s="81">
        <f t="shared" ref="D71:N71" si="131">IF(D69*D67&lt;0,D69,D69*D67)</f>
        <v>1788.4297520661157</v>
      </c>
      <c r="E71" s="81">
        <f t="shared" si="131"/>
        <v>2009.698791066184</v>
      </c>
      <c r="F71" s="81">
        <f t="shared" si="131"/>
        <v>2695.3855949639897</v>
      </c>
      <c r="G71" s="81">
        <f t="shared" si="131"/>
        <v>2673.1096809560231</v>
      </c>
      <c r="H71" s="81">
        <f t="shared" si="131"/>
        <v>3111.5083028285126</v>
      </c>
      <c r="I71" s="81">
        <f t="shared" si="131"/>
        <v>3542.4780895002577</v>
      </c>
      <c r="J71" s="81">
        <f t="shared" si="131"/>
        <v>3513.2014110746359</v>
      </c>
      <c r="K71" s="81">
        <f>IF(K69*K67&lt;0,K69,K69*K67)</f>
        <v>2585.8318575708604</v>
      </c>
      <c r="L71" s="81">
        <f t="shared" si="131"/>
        <v>2564.4613463512669</v>
      </c>
      <c r="M71" s="81">
        <f t="shared" si="131"/>
        <v>1659.7197719558985</v>
      </c>
      <c r="N71" s="81">
        <f t="shared" si="131"/>
        <v>1646.0030796256847</v>
      </c>
      <c r="O71" s="82"/>
      <c r="P71" s="82"/>
      <c r="Q71" s="81">
        <f>IF(Q69*Q67&lt;0,Q69,Q69*Q67)</f>
        <v>1980.0013214287119</v>
      </c>
      <c r="R71" s="81">
        <f t="shared" ref="R71:AB71" si="132">IF(R69*R67&lt;0,R69,R69*R67)</f>
        <v>2480.7309232940006</v>
      </c>
      <c r="S71" s="81">
        <f t="shared" si="132"/>
        <v>2460.2290148370253</v>
      </c>
      <c r="T71" s="81">
        <f t="shared" si="132"/>
        <v>2948.4781151008169</v>
      </c>
      <c r="U71" s="81">
        <f t="shared" si="132"/>
        <v>2924.1105273727107</v>
      </c>
      <c r="V71" s="81">
        <f t="shared" si="132"/>
        <v>3400.1543259672949</v>
      </c>
      <c r="W71" s="81">
        <f t="shared" si="132"/>
        <v>3868.129911339608</v>
      </c>
      <c r="X71" s="81">
        <f t="shared" si="132"/>
        <v>3836.1618955434128</v>
      </c>
      <c r="Y71" s="81">
        <f>IF(Y69*Y67&lt;0,Y69,Y69*Y67)</f>
        <v>2828.6374519561214</v>
      </c>
      <c r="Z71" s="81">
        <f t="shared" si="132"/>
        <v>2805.2602829316911</v>
      </c>
      <c r="AA71" s="81">
        <f t="shared" si="132"/>
        <v>1822.3183040706317</v>
      </c>
      <c r="AB71" s="81">
        <f t="shared" si="132"/>
        <v>1807.2578222188088</v>
      </c>
      <c r="AC71" s="82"/>
      <c r="AD71" s="82"/>
      <c r="AE71" s="81">
        <f>IF(AE69*AE67&lt;0,AE69,AE69*AE67)</f>
        <v>2106.975071689375</v>
      </c>
      <c r="AF71" s="81">
        <f t="shared" ref="AF71:AP71" si="133">IF(AF69*AF67&lt;0,AF69,AF69*AF67)</f>
        <v>2635.654497141094</v>
      </c>
      <c r="AG71" s="81">
        <f t="shared" si="133"/>
        <v>2613.8722285696799</v>
      </c>
      <c r="AH71" s="81">
        <f t="shared" si="133"/>
        <v>3129.3733988036788</v>
      </c>
      <c r="AI71" s="81">
        <f t="shared" si="133"/>
        <v>3103.5108087309209</v>
      </c>
      <c r="AJ71" s="81">
        <f t="shared" si="133"/>
        <v>3606.12432153488</v>
      </c>
      <c r="AK71" s="81">
        <f t="shared" si="133"/>
        <v>4100.2181990060544</v>
      </c>
      <c r="AL71" s="81">
        <f t="shared" si="133"/>
        <v>4066.3320981878228</v>
      </c>
      <c r="AM71" s="81">
        <f>IF(AM69*AM67&lt;0,AM69,AM69*AM67)</f>
        <v>3002.1802609542633</v>
      </c>
      <c r="AN71" s="81">
        <f t="shared" si="133"/>
        <v>2977.3688538389392</v>
      </c>
      <c r="AO71" s="81">
        <f t="shared" si="133"/>
        <v>1939.1801398342247</v>
      </c>
      <c r="AP71" s="81">
        <f t="shared" si="133"/>
        <v>1923.1538576868347</v>
      </c>
      <c r="AQ71" s="138"/>
      <c r="AR71" s="138"/>
      <c r="AS71" s="82"/>
    </row>
    <row r="72" spans="1:45" s="72" customFormat="1" ht="10.5" x14ac:dyDescent="0.35">
      <c r="A72" s="113" t="str">
        <f>"Чистая приведенная стоимость (NPV) нарастающим итогом, "&amp;CHOOSE('Исходные данные'!$N$2,'Исходные данные'!$O$2,'Исходные данные'!$O$3,'Исходные данные'!$O$4,'Исходные данные'!$O$5)&amp;""</f>
        <v>Чистая приведенная стоимость (NPV) нарастающим итогом, USD</v>
      </c>
      <c r="B72" s="88"/>
      <c r="C72" s="81">
        <f>B72+C71</f>
        <v>1227.3333333333333</v>
      </c>
      <c r="D72" s="81">
        <f t="shared" ref="D72:N72" si="134">C72+D71</f>
        <v>3015.7630853994488</v>
      </c>
      <c r="E72" s="81">
        <f t="shared" si="134"/>
        <v>5025.4618764656325</v>
      </c>
      <c r="F72" s="81">
        <f t="shared" si="134"/>
        <v>7720.8474714296226</v>
      </c>
      <c r="G72" s="81">
        <f t="shared" si="134"/>
        <v>10393.957152385647</v>
      </c>
      <c r="H72" s="81">
        <f t="shared" si="134"/>
        <v>13505.465455214158</v>
      </c>
      <c r="I72" s="81">
        <f t="shared" si="134"/>
        <v>17047.943544714417</v>
      </c>
      <c r="J72" s="81">
        <f t="shared" si="134"/>
        <v>20561.144955789052</v>
      </c>
      <c r="K72" s="81">
        <f t="shared" si="134"/>
        <v>23146.976813359914</v>
      </c>
      <c r="L72" s="81">
        <f t="shared" si="134"/>
        <v>25711.438159711179</v>
      </c>
      <c r="M72" s="81">
        <f t="shared" si="134"/>
        <v>27371.157931667076</v>
      </c>
      <c r="N72" s="81">
        <f t="shared" si="134"/>
        <v>29017.161011292759</v>
      </c>
      <c r="O72" s="82"/>
      <c r="P72" s="82"/>
      <c r="Q72" s="81">
        <f>N72+Q71</f>
        <v>30997.162332721469</v>
      </c>
      <c r="R72" s="81">
        <f t="shared" ref="R72:AB72" si="135">Q72+R71</f>
        <v>33477.893256015472</v>
      </c>
      <c r="S72" s="81">
        <f t="shared" si="135"/>
        <v>35938.122270852495</v>
      </c>
      <c r="T72" s="81">
        <f t="shared" si="135"/>
        <v>38886.600385953308</v>
      </c>
      <c r="U72" s="81">
        <f t="shared" si="135"/>
        <v>41810.710913326016</v>
      </c>
      <c r="V72" s="81">
        <f t="shared" si="135"/>
        <v>45210.865239293315</v>
      </c>
      <c r="W72" s="81">
        <f t="shared" si="135"/>
        <v>49078.995150632923</v>
      </c>
      <c r="X72" s="81">
        <f t="shared" si="135"/>
        <v>52915.157046176333</v>
      </c>
      <c r="Y72" s="81">
        <f t="shared" si="135"/>
        <v>55743.794498132454</v>
      </c>
      <c r="Z72" s="81">
        <f t="shared" si="135"/>
        <v>58549.054781064144</v>
      </c>
      <c r="AA72" s="81">
        <f t="shared" si="135"/>
        <v>60371.373085134779</v>
      </c>
      <c r="AB72" s="81">
        <f t="shared" si="135"/>
        <v>62178.630907353589</v>
      </c>
      <c r="AC72" s="82"/>
      <c r="AD72" s="82"/>
      <c r="AE72" s="81">
        <f>AB72+AE71</f>
        <v>64285.605979042964</v>
      </c>
      <c r="AF72" s="81">
        <f t="shared" ref="AF72:AP72" si="136">AE72+AF71</f>
        <v>66921.260476184063</v>
      </c>
      <c r="AG72" s="81">
        <f t="shared" si="136"/>
        <v>69535.132704753749</v>
      </c>
      <c r="AH72" s="81">
        <f t="shared" si="136"/>
        <v>72664.506103557433</v>
      </c>
      <c r="AI72" s="81">
        <f t="shared" si="136"/>
        <v>75768.016912288353</v>
      </c>
      <c r="AJ72" s="81">
        <f t="shared" si="136"/>
        <v>79374.141233823233</v>
      </c>
      <c r="AK72" s="81">
        <f t="shared" si="136"/>
        <v>83474.359432829282</v>
      </c>
      <c r="AL72" s="81">
        <f t="shared" si="136"/>
        <v>87540.691531017103</v>
      </c>
      <c r="AM72" s="81">
        <f t="shared" si="136"/>
        <v>90542.871791971367</v>
      </c>
      <c r="AN72" s="81">
        <f t="shared" si="136"/>
        <v>93520.240645810307</v>
      </c>
      <c r="AO72" s="81">
        <f t="shared" si="136"/>
        <v>95459.420785644528</v>
      </c>
      <c r="AP72" s="81">
        <f t="shared" si="136"/>
        <v>97382.574643331362</v>
      </c>
      <c r="AQ72" s="138"/>
      <c r="AR72" s="138"/>
      <c r="AS72" s="82"/>
    </row>
    <row r="73" spans="1:45" s="72" customFormat="1" ht="10.5" x14ac:dyDescent="0.35">
      <c r="A73" s="117"/>
      <c r="B73" s="139"/>
      <c r="C73" s="88"/>
      <c r="D73" s="88"/>
      <c r="E73" s="88"/>
      <c r="F73" s="88"/>
      <c r="G73" s="88"/>
      <c r="H73" s="88"/>
      <c r="I73" s="88"/>
      <c r="J73" s="88"/>
      <c r="K73" s="88"/>
      <c r="L73" s="88"/>
      <c r="M73" s="88"/>
      <c r="N73" s="88"/>
      <c r="O73" s="138"/>
      <c r="P73" s="138"/>
      <c r="Q73" s="88"/>
      <c r="R73" s="88"/>
      <c r="S73" s="88"/>
      <c r="T73" s="88"/>
      <c r="U73" s="88"/>
      <c r="V73" s="88"/>
      <c r="W73" s="88"/>
      <c r="X73" s="88"/>
      <c r="Y73" s="88"/>
      <c r="Z73" s="88"/>
      <c r="AA73" s="88"/>
      <c r="AB73" s="88"/>
      <c r="AC73" s="138"/>
      <c r="AD73" s="13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138"/>
      <c r="AR73" s="138"/>
      <c r="AS73" s="140"/>
    </row>
    <row r="74" spans="1:45" s="72" customFormat="1" ht="10.5" x14ac:dyDescent="0.4">
      <c r="A74" s="141" t="str">
        <f>"Чистая приведенная стоимость (NPV) на конец 3-го года, "&amp;CHOOSE('Исходные данные'!$N$2,'Исходные данные'!$O$2,'Исходные данные'!$O$3,'Исходные данные'!$O$4,'Исходные данные'!$O$5)&amp;""</f>
        <v>Чистая приведенная стоимость (NPV) на конец 3-го года, USD</v>
      </c>
      <c r="B74" s="142">
        <f>AP72+AS60</f>
        <v>93530.722791479508</v>
      </c>
      <c r="D74" s="88"/>
      <c r="E74" s="88"/>
      <c r="F74" s="88"/>
      <c r="G74" s="88"/>
      <c r="H74" s="88"/>
      <c r="I74" s="88"/>
      <c r="J74" s="88"/>
      <c r="K74" s="88"/>
      <c r="L74" s="88"/>
      <c r="M74" s="88"/>
      <c r="N74" s="88"/>
      <c r="O74" s="138"/>
      <c r="P74" s="138"/>
      <c r="Q74" s="88"/>
      <c r="R74" s="88"/>
      <c r="S74" s="88"/>
      <c r="T74" s="88"/>
      <c r="U74" s="88"/>
      <c r="V74" s="88"/>
      <c r="W74" s="88"/>
      <c r="X74" s="88"/>
      <c r="Y74" s="88"/>
      <c r="Z74" s="88"/>
      <c r="AA74" s="88"/>
      <c r="AB74" s="88"/>
      <c r="AC74" s="138"/>
      <c r="AD74" s="13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138"/>
      <c r="AR74" s="138"/>
      <c r="AS74" s="140"/>
    </row>
    <row r="75" spans="1:45" s="72" customFormat="1" ht="10.5" x14ac:dyDescent="0.4">
      <c r="A75" s="141" t="s">
        <v>21</v>
      </c>
      <c r="B75" s="142">
        <f>AP72/AS26</f>
        <v>25.282014570864874</v>
      </c>
      <c r="D75" s="88"/>
      <c r="E75" s="88"/>
      <c r="F75" s="88"/>
      <c r="G75" s="88"/>
      <c r="H75" s="88"/>
      <c r="I75" s="88"/>
      <c r="J75" s="88"/>
      <c r="K75" s="88"/>
      <c r="L75" s="88"/>
      <c r="M75" s="88"/>
      <c r="N75" s="88"/>
      <c r="O75" s="138"/>
      <c r="P75" s="138"/>
      <c r="R75" s="88"/>
      <c r="S75" s="88"/>
      <c r="T75" s="88"/>
      <c r="U75" s="88"/>
      <c r="V75" s="88"/>
      <c r="W75" s="88"/>
      <c r="X75" s="88"/>
      <c r="Y75" s="88"/>
      <c r="Z75" s="88"/>
      <c r="AA75" s="88"/>
      <c r="AB75" s="88"/>
      <c r="AC75" s="138"/>
      <c r="AD75" s="13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138"/>
      <c r="AR75" s="138"/>
      <c r="AS75" s="140"/>
    </row>
    <row r="76" spans="1:45" s="72" customFormat="1" ht="10.5" x14ac:dyDescent="0.4">
      <c r="A76" s="141" t="s">
        <v>87</v>
      </c>
      <c r="B76" s="143">
        <f>AS81</f>
        <v>3</v>
      </c>
      <c r="D76" s="88"/>
      <c r="E76" s="88"/>
      <c r="F76" s="88"/>
      <c r="G76" s="88"/>
      <c r="H76" s="88"/>
      <c r="I76" s="88"/>
      <c r="J76" s="88"/>
      <c r="K76" s="88"/>
      <c r="L76" s="88"/>
      <c r="M76" s="88"/>
      <c r="N76" s="88"/>
      <c r="O76" s="138"/>
      <c r="P76" s="138"/>
      <c r="Q76" s="88"/>
      <c r="R76" s="88"/>
      <c r="S76" s="88"/>
      <c r="T76" s="88"/>
      <c r="U76" s="88"/>
      <c r="V76" s="88"/>
      <c r="W76" s="88"/>
      <c r="X76" s="88"/>
      <c r="Y76" s="88"/>
      <c r="Z76" s="88"/>
      <c r="AA76" s="88"/>
      <c r="AB76" s="88"/>
      <c r="AC76" s="138"/>
      <c r="AD76" s="13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138"/>
      <c r="AR76" s="138"/>
      <c r="AS76" s="140"/>
    </row>
    <row r="77" spans="1:45" s="8" customFormat="1" ht="10.5" x14ac:dyDescent="0.4">
      <c r="A77" s="141" t="s">
        <v>46</v>
      </c>
      <c r="B77" s="143">
        <f>AS82</f>
        <v>1</v>
      </c>
      <c r="C77" s="103"/>
      <c r="D77" s="103"/>
      <c r="E77" s="144"/>
      <c r="F77" s="144"/>
      <c r="G77" s="144"/>
      <c r="H77" s="103"/>
      <c r="I77" s="103"/>
      <c r="J77" s="103"/>
      <c r="K77" s="103"/>
      <c r="L77" s="103"/>
      <c r="M77" s="103"/>
      <c r="N77" s="103"/>
      <c r="O77" s="105"/>
      <c r="P77" s="105"/>
      <c r="Q77" s="103"/>
      <c r="R77" s="103"/>
      <c r="S77" s="144"/>
      <c r="T77" s="144"/>
      <c r="U77" s="144"/>
      <c r="V77" s="103"/>
      <c r="W77" s="103"/>
      <c r="X77" s="103"/>
      <c r="Y77" s="103"/>
      <c r="Z77" s="103"/>
      <c r="AA77" s="103"/>
      <c r="AB77" s="103"/>
      <c r="AC77" s="105"/>
      <c r="AD77" s="105"/>
      <c r="AE77" s="103"/>
      <c r="AF77" s="103"/>
      <c r="AG77" s="144"/>
      <c r="AH77" s="144"/>
      <c r="AI77" s="144"/>
      <c r="AJ77" s="103"/>
      <c r="AK77" s="103"/>
      <c r="AL77" s="103"/>
      <c r="AM77" s="103"/>
      <c r="AN77" s="103"/>
      <c r="AO77" s="103"/>
      <c r="AP77" s="103"/>
      <c r="AQ77" s="105"/>
      <c r="AR77" s="105"/>
      <c r="AS77" s="103"/>
    </row>
    <row r="78" spans="1:45" s="72" customFormat="1" ht="10.5" x14ac:dyDescent="0.4">
      <c r="C78" s="145"/>
      <c r="E78" s="146"/>
      <c r="O78" s="89"/>
      <c r="P78" s="89"/>
      <c r="Q78" s="145"/>
      <c r="S78" s="146"/>
      <c r="AC78" s="89"/>
      <c r="AD78" s="89"/>
      <c r="AE78" s="145"/>
      <c r="AG78" s="146"/>
      <c r="AQ78" s="89"/>
      <c r="AR78" s="89"/>
    </row>
    <row r="79" spans="1:45" s="147" customFormat="1" ht="10.5" hidden="1" x14ac:dyDescent="0.4">
      <c r="B79" s="147" t="s">
        <v>34</v>
      </c>
      <c r="C79" s="147">
        <f t="shared" ref="C79:N79" si="137">IF(C54&gt;0,0,1)</f>
        <v>1</v>
      </c>
      <c r="D79" s="147">
        <f t="shared" si="137"/>
        <v>1</v>
      </c>
      <c r="E79" s="147">
        <f t="shared" si="137"/>
        <v>0</v>
      </c>
      <c r="F79" s="147">
        <f t="shared" si="137"/>
        <v>0</v>
      </c>
      <c r="G79" s="147">
        <f t="shared" si="137"/>
        <v>0</v>
      </c>
      <c r="H79" s="147">
        <f t="shared" si="137"/>
        <v>0</v>
      </c>
      <c r="I79" s="147">
        <f t="shared" si="137"/>
        <v>0</v>
      </c>
      <c r="J79" s="147">
        <f t="shared" si="137"/>
        <v>0</v>
      </c>
      <c r="K79" s="147">
        <f t="shared" si="137"/>
        <v>0</v>
      </c>
      <c r="L79" s="147">
        <f t="shared" si="137"/>
        <v>0</v>
      </c>
      <c r="M79" s="147">
        <f t="shared" si="137"/>
        <v>0</v>
      </c>
      <c r="N79" s="147">
        <f t="shared" si="137"/>
        <v>0</v>
      </c>
      <c r="O79" s="148"/>
      <c r="P79" s="148"/>
      <c r="Q79" s="147">
        <f t="shared" ref="Q79:AB79" si="138">IF(Q54&gt;0,0,1)</f>
        <v>0</v>
      </c>
      <c r="R79" s="147">
        <f t="shared" si="138"/>
        <v>0</v>
      </c>
      <c r="S79" s="147">
        <f t="shared" si="138"/>
        <v>0</v>
      </c>
      <c r="T79" s="147">
        <f t="shared" si="138"/>
        <v>0</v>
      </c>
      <c r="U79" s="147">
        <f t="shared" si="138"/>
        <v>0</v>
      </c>
      <c r="V79" s="147">
        <f t="shared" si="138"/>
        <v>0</v>
      </c>
      <c r="W79" s="147">
        <f t="shared" si="138"/>
        <v>0</v>
      </c>
      <c r="X79" s="147">
        <f t="shared" si="138"/>
        <v>0</v>
      </c>
      <c r="Y79" s="147">
        <f t="shared" si="138"/>
        <v>0</v>
      </c>
      <c r="Z79" s="147">
        <f t="shared" si="138"/>
        <v>0</v>
      </c>
      <c r="AA79" s="147">
        <f t="shared" si="138"/>
        <v>0</v>
      </c>
      <c r="AB79" s="147">
        <f t="shared" si="138"/>
        <v>0</v>
      </c>
      <c r="AC79" s="148"/>
      <c r="AD79" s="148"/>
      <c r="AE79" s="147">
        <f t="shared" ref="AE79:AP79" si="139">IF(AE54&gt;0,0,1)</f>
        <v>0</v>
      </c>
      <c r="AF79" s="147">
        <f t="shared" si="139"/>
        <v>0</v>
      </c>
      <c r="AG79" s="147">
        <f t="shared" si="139"/>
        <v>0</v>
      </c>
      <c r="AH79" s="147">
        <f t="shared" si="139"/>
        <v>0</v>
      </c>
      <c r="AI79" s="147">
        <f t="shared" si="139"/>
        <v>0</v>
      </c>
      <c r="AJ79" s="147">
        <f t="shared" si="139"/>
        <v>0</v>
      </c>
      <c r="AK79" s="147">
        <f t="shared" si="139"/>
        <v>0</v>
      </c>
      <c r="AL79" s="147">
        <f t="shared" si="139"/>
        <v>0</v>
      </c>
      <c r="AM79" s="147">
        <f t="shared" si="139"/>
        <v>0</v>
      </c>
      <c r="AN79" s="147">
        <f t="shared" si="139"/>
        <v>0</v>
      </c>
      <c r="AO79" s="147">
        <f t="shared" si="139"/>
        <v>0</v>
      </c>
      <c r="AP79" s="147">
        <f t="shared" si="139"/>
        <v>0</v>
      </c>
      <c r="AQ79" s="148"/>
      <c r="AR79" s="148"/>
      <c r="AS79" s="147">
        <f>SUM(C79:AP79)</f>
        <v>2</v>
      </c>
    </row>
    <row r="80" spans="1:45" s="147" customFormat="1" ht="10.199999999999999" hidden="1" x14ac:dyDescent="0.35">
      <c r="B80" s="147" t="s">
        <v>45</v>
      </c>
      <c r="C80" s="147">
        <f>IF(C53&gt;0,0,1)</f>
        <v>0</v>
      </c>
      <c r="D80" s="147">
        <f>IF(OR(D53&gt;0,C80=0),0,1)</f>
        <v>0</v>
      </c>
      <c r="E80" s="147">
        <f t="shared" ref="E80:N80" si="140">IF(OR(E53&gt;0,D80=0),0,1)</f>
        <v>0</v>
      </c>
      <c r="F80" s="147">
        <f t="shared" si="140"/>
        <v>0</v>
      </c>
      <c r="G80" s="147">
        <f t="shared" si="140"/>
        <v>0</v>
      </c>
      <c r="H80" s="147">
        <f t="shared" si="140"/>
        <v>0</v>
      </c>
      <c r="I80" s="147">
        <f>IF(OR(I53&gt;0,H80=0),0,1)</f>
        <v>0</v>
      </c>
      <c r="J80" s="147">
        <f t="shared" si="140"/>
        <v>0</v>
      </c>
      <c r="K80" s="147">
        <f t="shared" si="140"/>
        <v>0</v>
      </c>
      <c r="L80" s="147">
        <f>IF(OR(L53&gt;0,K80=0),0,1)</f>
        <v>0</v>
      </c>
      <c r="M80" s="147">
        <f t="shared" si="140"/>
        <v>0</v>
      </c>
      <c r="N80" s="147">
        <f t="shared" si="140"/>
        <v>0</v>
      </c>
      <c r="Q80" s="147">
        <f>IF(OR(Q53&gt;0,N80=0),0,1)</f>
        <v>0</v>
      </c>
      <c r="R80" s="147">
        <f t="shared" ref="R80:AB80" si="141">IF(OR(R53&gt;0,Q80=0),0,1)</f>
        <v>0</v>
      </c>
      <c r="S80" s="147">
        <f t="shared" si="141"/>
        <v>0</v>
      </c>
      <c r="T80" s="147">
        <f t="shared" si="141"/>
        <v>0</v>
      </c>
      <c r="U80" s="147">
        <f t="shared" si="141"/>
        <v>0</v>
      </c>
      <c r="V80" s="147">
        <f>IF(OR(V53&gt;0,U80=0),0,1)</f>
        <v>0</v>
      </c>
      <c r="W80" s="147">
        <f t="shared" si="141"/>
        <v>0</v>
      </c>
      <c r="X80" s="147">
        <f t="shared" si="141"/>
        <v>0</v>
      </c>
      <c r="Y80" s="147">
        <f>IF(OR(Y53&gt;0,X80=0),0,1)</f>
        <v>0</v>
      </c>
      <c r="Z80" s="147">
        <f t="shared" si="141"/>
        <v>0</v>
      </c>
      <c r="AA80" s="147">
        <f t="shared" si="141"/>
        <v>0</v>
      </c>
      <c r="AB80" s="147">
        <f t="shared" si="141"/>
        <v>0</v>
      </c>
      <c r="AE80" s="147">
        <f>IF(OR(AE53&gt;0,AB80=0),0,1)</f>
        <v>0</v>
      </c>
      <c r="AF80" s="147">
        <f t="shared" ref="AF80:AP80" si="142">IF(OR(AF53&gt;0,AE80=0),0,1)</f>
        <v>0</v>
      </c>
      <c r="AG80" s="147">
        <f t="shared" si="142"/>
        <v>0</v>
      </c>
      <c r="AH80" s="147">
        <f t="shared" si="142"/>
        <v>0</v>
      </c>
      <c r="AI80" s="147">
        <f t="shared" si="142"/>
        <v>0</v>
      </c>
      <c r="AJ80" s="147">
        <f>IF(OR(AJ53&gt;0,AI80=0),0,1)</f>
        <v>0</v>
      </c>
      <c r="AK80" s="147">
        <f t="shared" si="142"/>
        <v>0</v>
      </c>
      <c r="AL80" s="147">
        <f t="shared" si="142"/>
        <v>0</v>
      </c>
      <c r="AM80" s="147">
        <f>IF(OR(AM53&gt;0,AL80=0),0,1)</f>
        <v>0</v>
      </c>
      <c r="AN80" s="147">
        <f t="shared" si="142"/>
        <v>0</v>
      </c>
      <c r="AO80" s="147">
        <f t="shared" si="142"/>
        <v>0</v>
      </c>
      <c r="AP80" s="147">
        <f t="shared" si="142"/>
        <v>0</v>
      </c>
      <c r="AS80" s="147">
        <f>SUM(C80:AP80)</f>
        <v>0</v>
      </c>
    </row>
    <row r="81" spans="1:45" s="72" customFormat="1" ht="10.5" hidden="1" x14ac:dyDescent="0.4">
      <c r="O81" s="89"/>
      <c r="P81" s="89"/>
      <c r="AC81" s="89"/>
      <c r="AD81" s="89"/>
      <c r="AQ81" s="89"/>
      <c r="AR81" s="89"/>
      <c r="AS81" s="72">
        <f>IF(AR53&lt;0,"проект не окупается",IF(AS79&lt;36,AS79+1,-AS52/AR53+37))</f>
        <v>3</v>
      </c>
    </row>
    <row r="82" spans="1:45" s="150" customFormat="1" ht="14.1" hidden="1" x14ac:dyDescent="0.5">
      <c r="A82" s="72"/>
      <c r="B82" s="149"/>
      <c r="O82" s="151"/>
      <c r="P82" s="151"/>
      <c r="AC82" s="151"/>
      <c r="AD82" s="151"/>
      <c r="AQ82" s="151"/>
      <c r="AR82" s="151"/>
      <c r="AS82" s="150">
        <f>IF(AR53&lt;0,"проект не окупается",IF(AS80&lt;36,AS80+1,-AS52/AR53+37))</f>
        <v>1</v>
      </c>
    </row>
    <row r="83" spans="1:45" s="150" customFormat="1" ht="14.1" x14ac:dyDescent="0.5">
      <c r="A83" s="72"/>
      <c r="B83" s="149"/>
      <c r="O83" s="151"/>
      <c r="P83" s="151"/>
      <c r="AC83" s="151"/>
      <c r="AD83" s="151"/>
      <c r="AQ83" s="151"/>
      <c r="AR83" s="151"/>
    </row>
    <row r="84" spans="1:45" s="155" customFormat="1" ht="14.1" x14ac:dyDescent="0.5">
      <c r="A84" s="152"/>
      <c r="B84" s="152"/>
      <c r="C84" s="153"/>
      <c r="D84" s="153"/>
      <c r="E84" s="153"/>
      <c r="F84" s="153"/>
      <c r="G84" s="153"/>
      <c r="H84" s="153"/>
      <c r="I84" s="153"/>
      <c r="J84" s="153"/>
      <c r="K84" s="153"/>
      <c r="L84" s="153"/>
      <c r="M84" s="153"/>
      <c r="N84" s="153"/>
      <c r="O84" s="154"/>
      <c r="P84" s="154"/>
      <c r="AC84" s="156"/>
      <c r="AD84" s="156"/>
      <c r="AQ84" s="156"/>
      <c r="AR84" s="156"/>
    </row>
    <row r="85" spans="1:45" s="155" customFormat="1" ht="14.1" x14ac:dyDescent="0.5">
      <c r="A85" s="152"/>
      <c r="B85" s="152"/>
      <c r="C85" s="153"/>
      <c r="D85" s="153"/>
      <c r="E85" s="153"/>
      <c r="F85" s="153"/>
      <c r="G85" s="153"/>
      <c r="H85" s="153"/>
      <c r="I85" s="153"/>
      <c r="J85" s="153"/>
      <c r="K85" s="153"/>
      <c r="L85" s="153"/>
      <c r="M85" s="153"/>
      <c r="N85" s="153"/>
      <c r="O85" s="154"/>
      <c r="P85" s="156"/>
      <c r="AC85" s="156"/>
      <c r="AD85" s="156"/>
      <c r="AQ85" s="156"/>
      <c r="AR85" s="156"/>
    </row>
    <row r="86" spans="1:45" s="155" customFormat="1" ht="14.1" x14ac:dyDescent="0.5">
      <c r="A86" s="152"/>
      <c r="B86" s="152"/>
      <c r="O86" s="156"/>
      <c r="P86" s="156"/>
      <c r="AC86" s="156"/>
      <c r="AD86" s="156"/>
      <c r="AQ86" s="156"/>
      <c r="AR86" s="156"/>
    </row>
    <row r="87" spans="1:45" s="150" customFormat="1" ht="14.1" x14ac:dyDescent="0.5">
      <c r="A87" s="72"/>
      <c r="B87" s="149"/>
      <c r="O87" s="151"/>
      <c r="P87" s="151"/>
      <c r="AC87" s="151"/>
      <c r="AD87" s="151"/>
      <c r="AQ87" s="151"/>
      <c r="AR87" s="151"/>
    </row>
    <row r="88" spans="1:45" s="150" customFormat="1" ht="14.1" x14ac:dyDescent="0.5">
      <c r="A88" s="72"/>
      <c r="B88" s="149"/>
      <c r="O88" s="151"/>
      <c r="P88" s="151"/>
      <c r="AC88" s="151"/>
      <c r="AD88" s="151"/>
      <c r="AQ88" s="151"/>
      <c r="AR88" s="151"/>
    </row>
    <row r="89" spans="1:45" s="150" customFormat="1" ht="14.1" x14ac:dyDescent="0.5">
      <c r="A89" s="72"/>
      <c r="B89" s="149"/>
      <c r="O89" s="151"/>
      <c r="P89" s="151"/>
      <c r="AC89" s="151"/>
      <c r="AD89" s="151"/>
      <c r="AQ89" s="151"/>
      <c r="AR89" s="151"/>
    </row>
    <row r="90" spans="1:45" s="150" customFormat="1" ht="14.1" x14ac:dyDescent="0.5">
      <c r="A90" s="72"/>
      <c r="B90" s="149"/>
      <c r="O90" s="151"/>
      <c r="P90" s="151"/>
      <c r="AC90" s="151"/>
      <c r="AD90" s="151"/>
      <c r="AQ90" s="151"/>
      <c r="AR90" s="151"/>
    </row>
    <row r="91" spans="1:45" s="150" customFormat="1" ht="14.1" x14ac:dyDescent="0.5">
      <c r="A91" s="72"/>
      <c r="B91" s="149"/>
      <c r="O91" s="151"/>
      <c r="P91" s="151"/>
      <c r="AC91" s="151"/>
      <c r="AD91" s="151"/>
      <c r="AQ91" s="151"/>
      <c r="AR91" s="151"/>
    </row>
    <row r="92" spans="1:45" s="150" customFormat="1" ht="14.1" x14ac:dyDescent="0.5">
      <c r="A92" s="72"/>
      <c r="B92" s="149"/>
      <c r="O92" s="151"/>
      <c r="P92" s="151"/>
      <c r="AC92" s="151"/>
      <c r="AD92" s="151"/>
      <c r="AQ92" s="151"/>
      <c r="AR92" s="151"/>
    </row>
    <row r="93" spans="1:45" s="150" customFormat="1" ht="14.1" x14ac:dyDescent="0.5">
      <c r="A93" s="72"/>
      <c r="B93" s="149"/>
      <c r="O93" s="151"/>
      <c r="P93" s="151"/>
      <c r="AC93" s="151"/>
      <c r="AD93" s="151"/>
      <c r="AQ93" s="151"/>
      <c r="AR93" s="151"/>
    </row>
    <row r="94" spans="1:45" s="150" customFormat="1" ht="14.1" x14ac:dyDescent="0.5">
      <c r="A94" s="72"/>
      <c r="B94" s="149"/>
      <c r="O94" s="151"/>
      <c r="P94" s="151"/>
      <c r="AC94" s="151"/>
      <c r="AD94" s="151"/>
      <c r="AQ94" s="151"/>
      <c r="AR94" s="151"/>
    </row>
    <row r="95" spans="1:45" s="150" customFormat="1" ht="14.1" x14ac:dyDescent="0.5">
      <c r="A95" s="72"/>
      <c r="B95" s="149"/>
      <c r="O95" s="151"/>
      <c r="P95" s="151"/>
      <c r="AC95" s="151"/>
      <c r="AD95" s="151"/>
      <c r="AQ95" s="151"/>
      <c r="AR95" s="151"/>
    </row>
  </sheetData>
  <mergeCells count="7">
    <mergeCell ref="AS12:AS13"/>
    <mergeCell ref="C4:P4"/>
    <mergeCell ref="C12:P12"/>
    <mergeCell ref="Q4:AD4"/>
    <mergeCell ref="Q12:AD12"/>
    <mergeCell ref="AE4:AR4"/>
    <mergeCell ref="AE12:AR12"/>
  </mergeCells>
  <conditionalFormatting sqref="C7:N7 Q7:AB7 AE7:AP7">
    <cfRule type="cellIs" dxfId="25" priority="161" operator="lessThan">
      <formula>1</formula>
    </cfRule>
    <cfRule type="cellIs" dxfId="24" priority="162" operator="greaterThan">
      <formula>1</formula>
    </cfRule>
  </conditionalFormatting>
  <conditionalFormatting sqref="Q6:AB6">
    <cfRule type="cellIs" dxfId="23" priority="148" operator="lessThan">
      <formula>1</formula>
    </cfRule>
    <cfRule type="cellIs" dxfId="22" priority="149" operator="greaterThan">
      <formula>1</formula>
    </cfRule>
  </conditionalFormatting>
  <conditionalFormatting sqref="AE6:AP6">
    <cfRule type="cellIs" dxfId="21" priority="130" operator="lessThan">
      <formula>1</formula>
    </cfRule>
    <cfRule type="cellIs" dxfId="20" priority="131" operator="greaterThan">
      <formula>1</formula>
    </cfRule>
  </conditionalFormatting>
  <conditionalFormatting sqref="C6:N6">
    <cfRule type="cellIs" dxfId="19" priority="103" operator="lessThan">
      <formula>1</formula>
    </cfRule>
    <cfRule type="cellIs" dxfId="18" priority="104" operator="greaterThan">
      <formula>1</formula>
    </cfRule>
  </conditionalFormatting>
  <conditionalFormatting sqref="C8:N9">
    <cfRule type="cellIs" dxfId="17" priority="100" operator="lessThan">
      <formula>1</formula>
    </cfRule>
    <cfRule type="cellIs" dxfId="16" priority="101" operator="greaterThan">
      <formula>1</formula>
    </cfRule>
  </conditionalFormatting>
  <conditionalFormatting sqref="C8:N8">
    <cfRule type="cellIs" dxfId="15" priority="102" operator="lessThan">
      <formula>1</formula>
    </cfRule>
  </conditionalFormatting>
  <conditionalFormatting sqref="AE8:AP8">
    <cfRule type="cellIs" dxfId="14" priority="96" operator="lessThan">
      <formula>1</formula>
    </cfRule>
  </conditionalFormatting>
  <conditionalFormatting sqref="AE8:AP9">
    <cfRule type="cellIs" dxfId="13" priority="94" operator="lessThan">
      <formula>1</formula>
    </cfRule>
    <cfRule type="cellIs" dxfId="12" priority="95" operator="greaterThan">
      <formula>1</formula>
    </cfRule>
  </conditionalFormatting>
  <conditionalFormatting sqref="Q8:AB8">
    <cfRule type="cellIs" dxfId="11" priority="99" operator="lessThan">
      <formula>1</formula>
    </cfRule>
  </conditionalFormatting>
  <conditionalFormatting sqref="Q8:AB9">
    <cfRule type="cellIs" dxfId="10" priority="97" operator="lessThan">
      <formula>1</formula>
    </cfRule>
    <cfRule type="cellIs" dxfId="9" priority="98" operator="greaterThan">
      <formula>1</formula>
    </cfRule>
  </conditionalFormatting>
  <conditionalFormatting sqref="C10:N10">
    <cfRule type="cellIs" dxfId="8" priority="91" operator="lessThan">
      <formula>1</formula>
    </cfRule>
    <cfRule type="cellIs" dxfId="7" priority="92" operator="greaterThan">
      <formula>1</formula>
    </cfRule>
  </conditionalFormatting>
  <conditionalFormatting sqref="C10:N10">
    <cfRule type="cellIs" dxfId="6" priority="93" operator="lessThan">
      <formula>1</formula>
    </cfRule>
  </conditionalFormatting>
  <conditionalFormatting sqref="AE10:AP10">
    <cfRule type="cellIs" dxfId="5" priority="87" operator="lessThan">
      <formula>1</formula>
    </cfRule>
  </conditionalFormatting>
  <conditionalFormatting sqref="AE10:AP10">
    <cfRule type="cellIs" dxfId="4" priority="85" operator="lessThan">
      <formula>1</formula>
    </cfRule>
    <cfRule type="cellIs" dxfId="3" priority="86" operator="greaterThan">
      <formula>1</formula>
    </cfRule>
  </conditionalFormatting>
  <conditionalFormatting sqref="Q10:AB10">
    <cfRule type="cellIs" dxfId="2" priority="90" operator="lessThan">
      <formula>1</formula>
    </cfRule>
  </conditionalFormatting>
  <conditionalFormatting sqref="Q10:AB10">
    <cfRule type="cellIs" dxfId="1" priority="88" operator="lessThan">
      <formula>1</formula>
    </cfRule>
    <cfRule type="cellIs" dxfId="0" priority="89" operator="greaterThan">
      <formula>1</formula>
    </cfRule>
  </conditionalFormatting>
  <pageMargins left="0.39370078740157483" right="0.39370078740157483" top="0.39370078740157483" bottom="0.39370078740157483" header="0.51181102362204722" footer="0.51181102362204722"/>
  <pageSetup paperSize="9" scale="20" orientation="landscape" horizontalDpi="300" verticalDpi="300" r:id="rId1"/>
  <headerFooter alignWithMargins="0"/>
  <colBreaks count="2" manualBreakCount="2">
    <brk id="16" min="3" max="108" man="1"/>
    <brk id="30" min="3" max="108" man="1"/>
  </colBreaks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</vt:i4>
      </vt:variant>
      <vt:variant>
        <vt:lpstr>Именованные диапазоны</vt:lpstr>
      </vt:variant>
      <vt:variant>
        <vt:i4>4</vt:i4>
      </vt:variant>
    </vt:vector>
  </HeadingPairs>
  <TitlesOfParts>
    <vt:vector size="7" baseType="lpstr">
      <vt:lpstr>Исходные данные</vt:lpstr>
      <vt:lpstr>Обобщенный расчет</vt:lpstr>
      <vt:lpstr>Детальный расчет</vt:lpstr>
      <vt:lpstr>'Детальный расчет'!Заголовки_для_печати</vt:lpstr>
      <vt:lpstr>'Детальный расчет'!Область_печати</vt:lpstr>
      <vt:lpstr>'Исходные данные'!Область_печати</vt:lpstr>
      <vt:lpstr>'Обобщенный расчет'!Область_печати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Zazi;Franch.biz</dc:creator>
  <cp:lastModifiedBy>Яна Мирская</cp:lastModifiedBy>
  <cp:lastPrinted>2019-04-18T11:08:39Z</cp:lastPrinted>
  <dcterms:created xsi:type="dcterms:W3CDTF">2013-12-25T12:04:54Z</dcterms:created>
  <dcterms:modified xsi:type="dcterms:W3CDTF">2019-04-18T11:13:03Z</dcterms:modified>
</cp:coreProperties>
</file>