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761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maxmobiles/Desktop/КП FINLINE/"/>
    </mc:Choice>
  </mc:AlternateContent>
  <bookViews>
    <workbookView xWindow="10620" yWindow="2120" windowWidth="25600" windowHeight="16000" activeTab="1"/>
  </bookViews>
  <sheets>
    <sheet name="Исходные данные" sheetId="1" r:id="rId1"/>
    <sheet name="Обобщенный расчет" sheetId="6" r:id="rId2"/>
    <sheet name="Детальный расчет" sheetId="4" r:id="rId3"/>
  </sheets>
  <externalReferences>
    <externalReference r:id="rId4"/>
    <externalReference r:id="rId5"/>
    <externalReference r:id="rId6"/>
  </externalReferences>
  <definedNames>
    <definedName name="апи" localSheetId="1">[1]Отчет!#REF!</definedName>
    <definedName name="апи">[1]Отчет!#REF!</definedName>
    <definedName name="и" localSheetId="1">[1]Отчет!#REF!</definedName>
    <definedName name="и">[1]Отчет!#REF!</definedName>
    <definedName name="п" localSheetId="1">[1]Отчет!#REF!</definedName>
    <definedName name="п">[1]Отчет!#REF!</definedName>
    <definedName name="About_AI" localSheetId="1">#REF!</definedName>
    <definedName name="About_AI">#REF!</definedName>
    <definedName name="About_AI_Summ" localSheetId="1">#REF!</definedName>
    <definedName name="About_AI_Summ">#REF!</definedName>
    <definedName name="AI_Version">[2]Опции!$B$5</definedName>
    <definedName name="CalcMethod">[2]Проект!$F$88</definedName>
    <definedName name="CUR_Foreign">[2]Проект!$B$12</definedName>
    <definedName name="CUR_I_Foreign">[2]Проект!$D$12</definedName>
    <definedName name="CUR_I_Main">[2]Проект!$D$11</definedName>
    <definedName name="CUR_I_Report">[2]Проект!$D$19</definedName>
    <definedName name="CUR_Main">[2]Проект!$B$11</definedName>
    <definedName name="CUR_Report">[2]Проект!$B$19</definedName>
    <definedName name="EST_DATA" localSheetId="1">[2]Проект!#REF!</definedName>
    <definedName name="EST_DATA">[2]Проект!#REF!</definedName>
    <definedName name="EST_FROM" localSheetId="1">[2]Проект!#REF!</definedName>
    <definedName name="EST_FROM">[2]Проект!#REF!</definedName>
    <definedName name="EST_NumStages" localSheetId="1">[2]Проект!#REF!</definedName>
    <definedName name="EST_NumStages">[2]Проект!#REF!</definedName>
    <definedName name="EST_Obj_1" localSheetId="1">[2]Проект!#REF!</definedName>
    <definedName name="EST_Obj_1">[2]Проект!#REF!</definedName>
    <definedName name="EST_Obj_10" localSheetId="1">[2]Проект!#REF!</definedName>
    <definedName name="EST_Obj_10">[2]Проект!#REF!</definedName>
    <definedName name="EST_Obj_2" localSheetId="1">[2]Проект!#REF!</definedName>
    <definedName name="EST_Obj_2">[2]Проект!#REF!</definedName>
    <definedName name="EST_Obj_3" localSheetId="1">[2]Проект!#REF!</definedName>
    <definedName name="EST_Obj_3">[2]Проект!#REF!</definedName>
    <definedName name="EST_Obj_4" localSheetId="1">[2]Проект!#REF!</definedName>
    <definedName name="EST_Obj_4">[2]Проект!#REF!</definedName>
    <definedName name="EST_Obj_5" localSheetId="1">[2]Проект!#REF!</definedName>
    <definedName name="EST_Obj_5">[2]Проект!#REF!</definedName>
    <definedName name="EST_Obj_6" localSheetId="1">[2]Проект!#REF!</definedName>
    <definedName name="EST_Obj_6">[2]Проект!#REF!</definedName>
    <definedName name="EST_Obj_7" localSheetId="1">[2]Проект!#REF!</definedName>
    <definedName name="EST_Obj_7">[2]Проект!#REF!</definedName>
    <definedName name="EST_Obj_8" localSheetId="1">[2]Проект!#REF!</definedName>
    <definedName name="EST_Obj_8">[2]Проект!#REF!</definedName>
    <definedName name="EST_Obj_9" localSheetId="1">[2]Проект!#REF!</definedName>
    <definedName name="EST_Obj_9">[2]Проект!#REF!</definedName>
    <definedName name="EST_ProdNum" localSheetId="1">[2]Проект!#REF!</definedName>
    <definedName name="EST_ProdNum">[2]Проект!#REF!</definedName>
    <definedName name="IS_SUMM">[2]Опции!$B$10</definedName>
    <definedName name="LANGUAGE">[2]Проект!$D$17</definedName>
    <definedName name="NWC_T_Cr_AdvK">[2]Проект!$B$772</definedName>
    <definedName name="NWC_T_Cr_AdvT">[2]Проект!$C$772</definedName>
    <definedName name="NWC_T_Cr_CrdK">[2]Проект!$B$773</definedName>
    <definedName name="NWC_T_Cr_CrdT">[2]Проект!$C$773</definedName>
    <definedName name="NWC_T_Cycle">[2]Проект!$B$751</definedName>
    <definedName name="NWC_T_Db_AdvK">[2]Проект!$B$760</definedName>
    <definedName name="NWC_T_Db_AdvT">[2]Проект!$C$760</definedName>
    <definedName name="NWC_T_Db_CrdK">[2]Проект!$B$761</definedName>
    <definedName name="NWC_T_Db_CrdT">[2]Проект!$C$761</definedName>
    <definedName name="NWC_T_Goods">[2]Проект!$B$755</definedName>
    <definedName name="NWC_T_Mat">[2]Проект!$B$749</definedName>
    <definedName name="PeriodTitle">[2]Проект!$F$86:$L$86</definedName>
    <definedName name="_xlnm.Print_Area" localSheetId="2">'Детальный расчет'!$A$5:$AS$120</definedName>
    <definedName name="_xlnm.Print_Area" localSheetId="0">'Исходные данные'!$A$1:$J$72</definedName>
    <definedName name="_xlnm.Print_Area" localSheetId="1">'Обобщенный расчет'!$A$1:$I$65</definedName>
    <definedName name="_xlnm.Print_Titles" localSheetId="2">'Детальный расчет'!$A:$B</definedName>
    <definedName name="PRJ_Len">[2]Проект!$D$8</definedName>
    <definedName name="PRJ_Protected">[2]Проект!$D$18</definedName>
    <definedName name="PRJ_StartDate">[2]Проект!$D$7</definedName>
    <definedName name="PRJ_StartMon">[2]Проект!$F$26</definedName>
    <definedName name="PRJ_StartYear">[2]Проект!$F$25</definedName>
    <definedName name="PRJ_Step">[2]Проект!$D$10</definedName>
    <definedName name="PRJ_Step_SName">[2]Проект!$E$9</definedName>
    <definedName name="PRJ_StepType">[2]Проект!$D$9</definedName>
    <definedName name="ProfitTax">[2]Проект!$B$945</definedName>
    <definedName name="ProfitTax_Period">[2]Проект!$B$946</definedName>
    <definedName name="season" localSheetId="1">'[3]1. Исходные данные'!#REF!</definedName>
    <definedName name="season">'[3]1. Исходные данные'!#REF!</definedName>
    <definedName name="SENS_Parameter">[2]Анализ!$E$9</definedName>
    <definedName name="ShowRealDates">[2]Проект!$D$20</definedName>
    <definedName name="VAT">[2]Проект!$B$889</definedName>
    <definedName name="VAT_OnAssets">[2]Проект!$B$892</definedName>
    <definedName name="VAT_Period">[2]Проект!$B$890</definedName>
    <definedName name="VAT_Repay">[2]Проект!$B$891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54" i="6" l="1"/>
  <c r="F84" i="4"/>
  <c r="F53" i="6"/>
  <c r="Q83" i="4"/>
  <c r="F52" i="6"/>
  <c r="C82" i="4"/>
  <c r="F51" i="6"/>
  <c r="R81" i="4"/>
  <c r="F50" i="6"/>
  <c r="U80" i="4"/>
  <c r="F49" i="6"/>
  <c r="V79" i="4"/>
  <c r="F48" i="6"/>
  <c r="F47" i="6"/>
  <c r="Z77" i="4"/>
  <c r="AP82" i="4"/>
  <c r="AB82" i="4"/>
  <c r="N82" i="4"/>
  <c r="F82" i="4"/>
  <c r="AO82" i="4"/>
  <c r="AK82" i="4"/>
  <c r="AG82" i="4"/>
  <c r="AA82" i="4"/>
  <c r="W82" i="4"/>
  <c r="S82" i="4"/>
  <c r="M82" i="4"/>
  <c r="I82" i="4"/>
  <c r="E82" i="4"/>
  <c r="AH82" i="4"/>
  <c r="X82" i="4"/>
  <c r="J82" i="4"/>
  <c r="AN82" i="4"/>
  <c r="AJ82" i="4"/>
  <c r="AF82" i="4"/>
  <c r="Z82" i="4"/>
  <c r="V82" i="4"/>
  <c r="R82" i="4"/>
  <c r="L82" i="4"/>
  <c r="H82" i="4"/>
  <c r="D82" i="4"/>
  <c r="AL82" i="4"/>
  <c r="T82" i="4"/>
  <c r="AM82" i="4"/>
  <c r="AI82" i="4"/>
  <c r="AE82" i="4"/>
  <c r="Y82" i="4"/>
  <c r="U82" i="4"/>
  <c r="Q82" i="4"/>
  <c r="K82" i="4"/>
  <c r="G82" i="4"/>
  <c r="N83" i="4"/>
  <c r="C80" i="4"/>
  <c r="N79" i="4"/>
  <c r="R80" i="4"/>
  <c r="C84" i="4"/>
  <c r="J83" i="4"/>
  <c r="D81" i="4"/>
  <c r="J79" i="4"/>
  <c r="D77" i="4"/>
  <c r="Z80" i="4"/>
  <c r="H81" i="4"/>
  <c r="H77" i="4"/>
  <c r="K84" i="4"/>
  <c r="F83" i="4"/>
  <c r="K80" i="4"/>
  <c r="F79" i="4"/>
  <c r="V77" i="4"/>
  <c r="Y81" i="4"/>
  <c r="G84" i="4"/>
  <c r="L81" i="4"/>
  <c r="G80" i="4"/>
  <c r="L77" i="4"/>
  <c r="AO78" i="4"/>
  <c r="AK78" i="4"/>
  <c r="AG78" i="4"/>
  <c r="AA78" i="4"/>
  <c r="W78" i="4"/>
  <c r="S78" i="4"/>
  <c r="AN78" i="4"/>
  <c r="AJ78" i="4"/>
  <c r="AF78" i="4"/>
  <c r="AM78" i="4"/>
  <c r="AI78" i="4"/>
  <c r="AE78" i="4"/>
  <c r="AP78" i="4"/>
  <c r="AL78" i="4"/>
  <c r="AH78" i="4"/>
  <c r="AB78" i="4"/>
  <c r="X78" i="4"/>
  <c r="T78" i="4"/>
  <c r="M78" i="4"/>
  <c r="R78" i="4"/>
  <c r="AO79" i="4"/>
  <c r="AK79" i="4"/>
  <c r="AG79" i="4"/>
  <c r="AA79" i="4"/>
  <c r="W79" i="4"/>
  <c r="S79" i="4"/>
  <c r="AN79" i="4"/>
  <c r="AJ79" i="4"/>
  <c r="AF79" i="4"/>
  <c r="AM79" i="4"/>
  <c r="AI79" i="4"/>
  <c r="AE79" i="4"/>
  <c r="AP79" i="4"/>
  <c r="AL79" i="4"/>
  <c r="AH79" i="4"/>
  <c r="AB79" i="4"/>
  <c r="X79" i="4"/>
  <c r="T79" i="4"/>
  <c r="AO83" i="4"/>
  <c r="AK83" i="4"/>
  <c r="AG83" i="4"/>
  <c r="AA83" i="4"/>
  <c r="W83" i="4"/>
  <c r="S83" i="4"/>
  <c r="AN83" i="4"/>
  <c r="AJ83" i="4"/>
  <c r="AF83" i="4"/>
  <c r="Z83" i="4"/>
  <c r="V83" i="4"/>
  <c r="R83" i="4"/>
  <c r="AM83" i="4"/>
  <c r="AI83" i="4"/>
  <c r="AE83" i="4"/>
  <c r="Y83" i="4"/>
  <c r="U83" i="4"/>
  <c r="AP83" i="4"/>
  <c r="AL83" i="4"/>
  <c r="AH83" i="4"/>
  <c r="AB83" i="4"/>
  <c r="X83" i="4"/>
  <c r="T83" i="4"/>
  <c r="C77" i="4"/>
  <c r="C81" i="4"/>
  <c r="N84" i="4"/>
  <c r="J84" i="4"/>
  <c r="M83" i="4"/>
  <c r="I83" i="4"/>
  <c r="E83" i="4"/>
  <c r="K81" i="4"/>
  <c r="G81" i="4"/>
  <c r="N80" i="4"/>
  <c r="J80" i="4"/>
  <c r="F80" i="4"/>
  <c r="M79" i="4"/>
  <c r="I79" i="4"/>
  <c r="E79" i="4"/>
  <c r="L78" i="4"/>
  <c r="H78" i="4"/>
  <c r="D78" i="4"/>
  <c r="K77" i="4"/>
  <c r="G77" i="4"/>
  <c r="Q77" i="4"/>
  <c r="Y77" i="4"/>
  <c r="U78" i="4"/>
  <c r="Q79" i="4"/>
  <c r="Y79" i="4"/>
  <c r="Q81" i="4"/>
  <c r="I78" i="4"/>
  <c r="Z78" i="4"/>
  <c r="AO80" i="4"/>
  <c r="AK80" i="4"/>
  <c r="AG80" i="4"/>
  <c r="AA80" i="4"/>
  <c r="W80" i="4"/>
  <c r="S80" i="4"/>
  <c r="AN80" i="4"/>
  <c r="AJ80" i="4"/>
  <c r="AF80" i="4"/>
  <c r="AM80" i="4"/>
  <c r="AI80" i="4"/>
  <c r="AE80" i="4"/>
  <c r="AP80" i="4"/>
  <c r="AL80" i="4"/>
  <c r="AH80" i="4"/>
  <c r="AB80" i="4"/>
  <c r="X80" i="4"/>
  <c r="T80" i="4"/>
  <c r="AO84" i="4"/>
  <c r="AK84" i="4"/>
  <c r="AG84" i="4"/>
  <c r="AA84" i="4"/>
  <c r="W84" i="4"/>
  <c r="S84" i="4"/>
  <c r="AN84" i="4"/>
  <c r="AJ84" i="4"/>
  <c r="AF84" i="4"/>
  <c r="Z84" i="4"/>
  <c r="V84" i="4"/>
  <c r="R84" i="4"/>
  <c r="AM84" i="4"/>
  <c r="AI84" i="4"/>
  <c r="AE84" i="4"/>
  <c r="Y84" i="4"/>
  <c r="U84" i="4"/>
  <c r="Q84" i="4"/>
  <c r="AP84" i="4"/>
  <c r="AL84" i="4"/>
  <c r="AH84" i="4"/>
  <c r="AB84" i="4"/>
  <c r="X84" i="4"/>
  <c r="T84" i="4"/>
  <c r="C78" i="4"/>
  <c r="M84" i="4"/>
  <c r="I84" i="4"/>
  <c r="E84" i="4"/>
  <c r="L83" i="4"/>
  <c r="H83" i="4"/>
  <c r="D83" i="4"/>
  <c r="N81" i="4"/>
  <c r="J81" i="4"/>
  <c r="F81" i="4"/>
  <c r="M80" i="4"/>
  <c r="I80" i="4"/>
  <c r="E80" i="4"/>
  <c r="L79" i="4"/>
  <c r="H79" i="4"/>
  <c r="D79" i="4"/>
  <c r="K78" i="4"/>
  <c r="G78" i="4"/>
  <c r="N77" i="4"/>
  <c r="J77" i="4"/>
  <c r="F77" i="4"/>
  <c r="R77" i="4"/>
  <c r="V78" i="4"/>
  <c r="R79" i="4"/>
  <c r="Z79" i="4"/>
  <c r="V80" i="4"/>
  <c r="E78" i="4"/>
  <c r="AO77" i="4"/>
  <c r="AK77" i="4"/>
  <c r="AG77" i="4"/>
  <c r="AA77" i="4"/>
  <c r="W77" i="4"/>
  <c r="S77" i="4"/>
  <c r="AN77" i="4"/>
  <c r="AJ77" i="4"/>
  <c r="AF77" i="4"/>
  <c r="AM77" i="4"/>
  <c r="AI77" i="4"/>
  <c r="AE77" i="4"/>
  <c r="AP77" i="4"/>
  <c r="AL77" i="4"/>
  <c r="AH77" i="4"/>
  <c r="AB77" i="4"/>
  <c r="X77" i="4"/>
  <c r="T77" i="4"/>
  <c r="AO81" i="4"/>
  <c r="AK81" i="4"/>
  <c r="AG81" i="4"/>
  <c r="AA81" i="4"/>
  <c r="W81" i="4"/>
  <c r="S81" i="4"/>
  <c r="AN81" i="4"/>
  <c r="AJ81" i="4"/>
  <c r="AF81" i="4"/>
  <c r="Z81" i="4"/>
  <c r="V81" i="4"/>
  <c r="AM81" i="4"/>
  <c r="AI81" i="4"/>
  <c r="AE81" i="4"/>
  <c r="AP81" i="4"/>
  <c r="AL81" i="4"/>
  <c r="AH81" i="4"/>
  <c r="AB81" i="4"/>
  <c r="X81" i="4"/>
  <c r="T81" i="4"/>
  <c r="C79" i="4"/>
  <c r="C83" i="4"/>
  <c r="L84" i="4"/>
  <c r="H84" i="4"/>
  <c r="D84" i="4"/>
  <c r="K83" i="4"/>
  <c r="G83" i="4"/>
  <c r="M81" i="4"/>
  <c r="I81" i="4"/>
  <c r="E81" i="4"/>
  <c r="L80" i="4"/>
  <c r="H80" i="4"/>
  <c r="D80" i="4"/>
  <c r="K79" i="4"/>
  <c r="G79" i="4"/>
  <c r="N78" i="4"/>
  <c r="J78" i="4"/>
  <c r="F78" i="4"/>
  <c r="M77" i="4"/>
  <c r="I77" i="4"/>
  <c r="E77" i="4"/>
  <c r="U77" i="4"/>
  <c r="Q78" i="4"/>
  <c r="Y78" i="4"/>
  <c r="U79" i="4"/>
  <c r="Q80" i="4"/>
  <c r="Y80" i="4"/>
  <c r="U81" i="4"/>
  <c r="D37" i="6"/>
  <c r="D33" i="6"/>
  <c r="D31" i="6"/>
  <c r="D29" i="6"/>
  <c r="D27" i="6"/>
  <c r="D25" i="6"/>
  <c r="D12" i="4"/>
  <c r="E12" i="4"/>
  <c r="F12" i="4"/>
  <c r="G12" i="4"/>
  <c r="H12" i="4"/>
  <c r="I12" i="4"/>
  <c r="J12" i="4"/>
  <c r="K12" i="4"/>
  <c r="L12" i="4"/>
  <c r="H24" i="1"/>
  <c r="F24" i="1"/>
  <c r="D24" i="1"/>
  <c r="M12" i="4"/>
  <c r="F46" i="6"/>
  <c r="F45" i="6"/>
  <c r="D35" i="6"/>
  <c r="B45" i="6"/>
  <c r="A75" i="4"/>
  <c r="B46" i="6"/>
  <c r="A76" i="4"/>
  <c r="AO75" i="4"/>
  <c r="AK75" i="4"/>
  <c r="AG75" i="4"/>
  <c r="AN75" i="4"/>
  <c r="AJ75" i="4"/>
  <c r="AF75" i="4"/>
  <c r="AM75" i="4"/>
  <c r="AI75" i="4"/>
  <c r="AE75" i="4"/>
  <c r="AP75" i="4"/>
  <c r="AL75" i="4"/>
  <c r="AH75" i="4"/>
  <c r="AA75" i="4"/>
  <c r="W75" i="4"/>
  <c r="S75" i="4"/>
  <c r="G75" i="4"/>
  <c r="K75" i="4"/>
  <c r="C75" i="4"/>
  <c r="AB75" i="4"/>
  <c r="F75" i="4"/>
  <c r="Z75" i="4"/>
  <c r="V75" i="4"/>
  <c r="R75" i="4"/>
  <c r="D75" i="4"/>
  <c r="H75" i="4"/>
  <c r="L75" i="4"/>
  <c r="X75" i="4"/>
  <c r="N75" i="4"/>
  <c r="Y75" i="4"/>
  <c r="U75" i="4"/>
  <c r="Q75" i="4"/>
  <c r="E75" i="4"/>
  <c r="I75" i="4"/>
  <c r="M75" i="4"/>
  <c r="T75" i="4"/>
  <c r="J75" i="4"/>
  <c r="AO76" i="4"/>
  <c r="AK76" i="4"/>
  <c r="AG76" i="4"/>
  <c r="AA76" i="4"/>
  <c r="W76" i="4"/>
  <c r="AN76" i="4"/>
  <c r="AJ76" i="4"/>
  <c r="AF76" i="4"/>
  <c r="AM76" i="4"/>
  <c r="AI76" i="4"/>
  <c r="AE76" i="4"/>
  <c r="AP76" i="4"/>
  <c r="AL76" i="4"/>
  <c r="AH76" i="4"/>
  <c r="AB76" i="4"/>
  <c r="X76" i="4"/>
  <c r="Y76" i="4"/>
  <c r="S76" i="4"/>
  <c r="D76" i="4"/>
  <c r="H76" i="4"/>
  <c r="L76" i="4"/>
  <c r="G76" i="4"/>
  <c r="C76" i="4"/>
  <c r="V76" i="4"/>
  <c r="R76" i="4"/>
  <c r="E76" i="4"/>
  <c r="I76" i="4"/>
  <c r="M76" i="4"/>
  <c r="Z76" i="4"/>
  <c r="U76" i="4"/>
  <c r="Q76" i="4"/>
  <c r="F76" i="4"/>
  <c r="J76" i="4"/>
  <c r="N76" i="4"/>
  <c r="T76" i="4"/>
  <c r="K76" i="4"/>
  <c r="N12" i="4"/>
  <c r="B29" i="6"/>
  <c r="B27" i="6"/>
  <c r="B25" i="6"/>
  <c r="H19" i="6"/>
  <c r="F19" i="6"/>
  <c r="E19" i="6"/>
  <c r="D19" i="6"/>
  <c r="H18" i="6"/>
  <c r="F18" i="6"/>
  <c r="E18" i="6"/>
  <c r="D18" i="6"/>
  <c r="D15" i="6"/>
  <c r="A17" i="6"/>
  <c r="F15" i="6"/>
  <c r="B22" i="4"/>
  <c r="B21" i="4"/>
  <c r="D12" i="6"/>
  <c r="F14" i="6"/>
  <c r="D14" i="6"/>
  <c r="A14" i="6"/>
  <c r="H12" i="6"/>
  <c r="F12" i="6"/>
  <c r="E12" i="6"/>
  <c r="B14" i="4"/>
  <c r="H10" i="6"/>
  <c r="D10" i="6"/>
  <c r="A10" i="6"/>
  <c r="F8" i="6"/>
  <c r="F6" i="6"/>
  <c r="B17" i="4"/>
  <c r="D8" i="6"/>
  <c r="A8" i="6"/>
  <c r="H6" i="6"/>
  <c r="H5" i="6"/>
  <c r="F5" i="6"/>
  <c r="A5" i="6"/>
  <c r="B16" i="4"/>
  <c r="Q12" i="4"/>
  <c r="R12" i="4"/>
  <c r="S12" i="4"/>
  <c r="T12" i="4"/>
  <c r="U12" i="4"/>
  <c r="V12" i="4"/>
  <c r="W12" i="4"/>
  <c r="X12" i="4"/>
  <c r="Y12" i="4"/>
  <c r="Z12" i="4"/>
  <c r="AA12" i="4"/>
  <c r="AB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75" i="4"/>
  <c r="AR75" i="4"/>
  <c r="AC76" i="4"/>
  <c r="AD76" i="4"/>
  <c r="O76" i="4"/>
  <c r="AQ76" i="4"/>
  <c r="AR76" i="4"/>
  <c r="AC75" i="4"/>
  <c r="AD75" i="4"/>
  <c r="O75" i="4"/>
  <c r="D18" i="4"/>
  <c r="J18" i="4"/>
  <c r="F18" i="4"/>
  <c r="H18" i="4"/>
  <c r="AH18" i="4"/>
  <c r="AL18" i="4"/>
  <c r="AP18" i="4"/>
  <c r="T18" i="4"/>
  <c r="X18" i="4"/>
  <c r="AB18" i="4"/>
  <c r="E18" i="4"/>
  <c r="I18" i="4"/>
  <c r="M18" i="4"/>
  <c r="AG18" i="4"/>
  <c r="AK18" i="4"/>
  <c r="AO18" i="4"/>
  <c r="S18" i="4"/>
  <c r="W18" i="4"/>
  <c r="AA18" i="4"/>
  <c r="N18" i="4"/>
  <c r="L18" i="4"/>
  <c r="AF18" i="4"/>
  <c r="AJ18" i="4"/>
  <c r="AN18" i="4"/>
  <c r="R18" i="4"/>
  <c r="V18" i="4"/>
  <c r="Z18" i="4"/>
  <c r="B30" i="4"/>
  <c r="G18" i="4"/>
  <c r="K18" i="4"/>
  <c r="C18" i="4"/>
  <c r="AI18" i="4"/>
  <c r="AM18" i="4"/>
  <c r="AE18" i="4"/>
  <c r="U18" i="4"/>
  <c r="Y18" i="4"/>
  <c r="Q18" i="4"/>
  <c r="B23" i="4"/>
  <c r="H37" i="1"/>
  <c r="F37" i="1"/>
  <c r="D37" i="1"/>
  <c r="C23" i="4"/>
  <c r="C13" i="4"/>
  <c r="W30" i="4"/>
  <c r="W36" i="4"/>
  <c r="W42" i="4"/>
  <c r="R30" i="4"/>
  <c r="R36" i="4"/>
  <c r="R42" i="4"/>
  <c r="Y30" i="4"/>
  <c r="Y36" i="4"/>
  <c r="Y42" i="4"/>
  <c r="AB30" i="4"/>
  <c r="AB36" i="4"/>
  <c r="AC36" i="4"/>
  <c r="E30" i="4"/>
  <c r="E36" i="4"/>
  <c r="E42" i="4"/>
  <c r="G30" i="4"/>
  <c r="G36" i="4"/>
  <c r="G42" i="4"/>
  <c r="AM30" i="4"/>
  <c r="AM36" i="4"/>
  <c r="AM42" i="4"/>
  <c r="AO30" i="4"/>
  <c r="AO36" i="4"/>
  <c r="AO42" i="4"/>
  <c r="N30" i="4"/>
  <c r="N36" i="4"/>
  <c r="O36" i="4"/>
  <c r="V30" i="4"/>
  <c r="V36" i="4"/>
  <c r="V42" i="4"/>
  <c r="AF30" i="4"/>
  <c r="AF36" i="4"/>
  <c r="AF42" i="4"/>
  <c r="J30" i="4"/>
  <c r="J36" i="4"/>
  <c r="J42" i="4"/>
  <c r="AH30" i="4"/>
  <c r="AH36" i="4"/>
  <c r="AH42" i="4"/>
  <c r="AA30" i="4"/>
  <c r="AA36" i="4"/>
  <c r="AA42" i="4"/>
  <c r="AI30" i="4"/>
  <c r="AI36" i="4"/>
  <c r="AI42" i="4"/>
  <c r="AE30" i="4"/>
  <c r="AE36" i="4"/>
  <c r="AE42" i="4"/>
  <c r="Q30" i="4"/>
  <c r="Q36" i="4"/>
  <c r="Q42" i="4"/>
  <c r="AJ30" i="4"/>
  <c r="AJ36" i="4"/>
  <c r="AJ42" i="4"/>
  <c r="AL30" i="4"/>
  <c r="AL36" i="4"/>
  <c r="AL42" i="4"/>
  <c r="AN30" i="4"/>
  <c r="AN36" i="4"/>
  <c r="AN42" i="4"/>
  <c r="L30" i="4"/>
  <c r="L36" i="4"/>
  <c r="L42" i="4"/>
  <c r="C30" i="4"/>
  <c r="C36" i="4"/>
  <c r="C42" i="4"/>
  <c r="F30" i="4"/>
  <c r="F36" i="4"/>
  <c r="F42" i="4"/>
  <c r="C19" i="4"/>
  <c r="C28" i="4"/>
  <c r="C35" i="4"/>
  <c r="C41" i="4"/>
  <c r="AL23" i="4"/>
  <c r="AL13" i="4"/>
  <c r="S30" i="4"/>
  <c r="S36" i="4"/>
  <c r="S42" i="4"/>
  <c r="Z30" i="4"/>
  <c r="Z36" i="4"/>
  <c r="Z42" i="4"/>
  <c r="U30" i="4"/>
  <c r="U36" i="4"/>
  <c r="U42" i="4"/>
  <c r="X30" i="4"/>
  <c r="X36" i="4"/>
  <c r="X42" i="4"/>
  <c r="D30" i="4"/>
  <c r="D36" i="4"/>
  <c r="D42" i="4"/>
  <c r="AK30" i="4"/>
  <c r="AK36" i="4"/>
  <c r="AK42" i="4"/>
  <c r="I30" i="4"/>
  <c r="I36" i="4"/>
  <c r="I42" i="4"/>
  <c r="K30" i="4"/>
  <c r="K36" i="4"/>
  <c r="K42" i="4"/>
  <c r="M30" i="4"/>
  <c r="M36" i="4"/>
  <c r="M42" i="4"/>
  <c r="AG30" i="4"/>
  <c r="AG36" i="4"/>
  <c r="AG42" i="4"/>
  <c r="T30" i="4"/>
  <c r="T36" i="4"/>
  <c r="T42" i="4"/>
  <c r="H30" i="4"/>
  <c r="H36" i="4"/>
  <c r="H42" i="4"/>
  <c r="AP30" i="4"/>
  <c r="AP36" i="4"/>
  <c r="AQ36" i="4"/>
  <c r="AS36" i="4"/>
  <c r="AH23" i="4"/>
  <c r="AH13" i="4"/>
  <c r="K23" i="4"/>
  <c r="K13" i="4"/>
  <c r="V23" i="4"/>
  <c r="V13" i="4"/>
  <c r="W23" i="4"/>
  <c r="W13" i="4"/>
  <c r="AM23" i="4"/>
  <c r="AM13" i="4"/>
  <c r="L23" i="4"/>
  <c r="M23" i="4"/>
  <c r="M13" i="4"/>
  <c r="U23" i="4"/>
  <c r="U13" i="4"/>
  <c r="Z23" i="4"/>
  <c r="Z13" i="4"/>
  <c r="AA23" i="4"/>
  <c r="AA13" i="4"/>
  <c r="E23" i="4"/>
  <c r="E13" i="4"/>
  <c r="F23" i="4"/>
  <c r="F13" i="4"/>
  <c r="P76" i="4"/>
  <c r="AS76" i="4"/>
  <c r="P75" i="4"/>
  <c r="AS75" i="4"/>
  <c r="Y65" i="4"/>
  <c r="Y64" i="4"/>
  <c r="Y63" i="4"/>
  <c r="AI65" i="4"/>
  <c r="AI64" i="4"/>
  <c r="AI63" i="4"/>
  <c r="AN65" i="4"/>
  <c r="AN64" i="4"/>
  <c r="AN63" i="4"/>
  <c r="N64" i="4"/>
  <c r="N65" i="4"/>
  <c r="N63" i="4"/>
  <c r="AO65" i="4"/>
  <c r="AO64" i="4"/>
  <c r="AO63" i="4"/>
  <c r="I63" i="4"/>
  <c r="I65" i="4"/>
  <c r="I64" i="4"/>
  <c r="T63" i="4"/>
  <c r="T65" i="4"/>
  <c r="T64" i="4"/>
  <c r="H65" i="4"/>
  <c r="H64" i="4"/>
  <c r="H63" i="4"/>
  <c r="AO23" i="4"/>
  <c r="AO13" i="4"/>
  <c r="H23" i="4"/>
  <c r="U65" i="4"/>
  <c r="U64" i="4"/>
  <c r="U63" i="4"/>
  <c r="C65" i="4"/>
  <c r="C63" i="4"/>
  <c r="C64" i="4"/>
  <c r="C73" i="4"/>
  <c r="Z65" i="4"/>
  <c r="Z64" i="4"/>
  <c r="Z63" i="4"/>
  <c r="AJ23" i="4"/>
  <c r="AJ13" i="4"/>
  <c r="AJ65" i="4"/>
  <c r="AJ64" i="4"/>
  <c r="AJ63" i="4"/>
  <c r="AA65" i="4"/>
  <c r="AA64" i="4"/>
  <c r="AA63" i="4"/>
  <c r="AK23" i="4"/>
  <c r="AK65" i="4"/>
  <c r="AK64" i="4"/>
  <c r="AK63" i="4"/>
  <c r="E63" i="4"/>
  <c r="E64" i="4"/>
  <c r="E65" i="4"/>
  <c r="AP23" i="4"/>
  <c r="AP13" i="4"/>
  <c r="AP65" i="4"/>
  <c r="AP64" i="4"/>
  <c r="AP63" i="4"/>
  <c r="F64" i="4"/>
  <c r="F63" i="4"/>
  <c r="F65" i="4"/>
  <c r="I23" i="4"/>
  <c r="AE65" i="4"/>
  <c r="AE64" i="4"/>
  <c r="AE63" i="4"/>
  <c r="K65" i="4"/>
  <c r="K64" i="4"/>
  <c r="K63" i="4"/>
  <c r="V65" i="4"/>
  <c r="V64" i="4"/>
  <c r="V63" i="4"/>
  <c r="AF65" i="4"/>
  <c r="AF64" i="4"/>
  <c r="AF63" i="4"/>
  <c r="W65" i="4"/>
  <c r="W64" i="4"/>
  <c r="W63" i="4"/>
  <c r="AG65" i="4"/>
  <c r="AG64" i="4"/>
  <c r="AG63" i="4"/>
  <c r="AB65" i="4"/>
  <c r="AB64" i="4"/>
  <c r="AB63" i="4"/>
  <c r="AL65" i="4"/>
  <c r="AL64" i="4"/>
  <c r="AL63" i="4"/>
  <c r="J65" i="4"/>
  <c r="J64" i="4"/>
  <c r="J63" i="4"/>
  <c r="AG23" i="4"/>
  <c r="Q23" i="4"/>
  <c r="Q13" i="4"/>
  <c r="Q65" i="4"/>
  <c r="Q64" i="4"/>
  <c r="Q63" i="4"/>
  <c r="AM65" i="4"/>
  <c r="AM64" i="4"/>
  <c r="AM63" i="4"/>
  <c r="G23" i="4"/>
  <c r="G65" i="4"/>
  <c r="G63" i="4"/>
  <c r="G64" i="4"/>
  <c r="G73" i="4"/>
  <c r="R23" i="4"/>
  <c r="R65" i="4"/>
  <c r="R64" i="4"/>
  <c r="R63" i="4"/>
  <c r="L63" i="4"/>
  <c r="L64" i="4"/>
  <c r="L65" i="4"/>
  <c r="S23" i="4"/>
  <c r="S65" i="4"/>
  <c r="S64" i="4"/>
  <c r="S63" i="4"/>
  <c r="S73" i="4"/>
  <c r="M63" i="4"/>
  <c r="M64" i="4"/>
  <c r="M65" i="4"/>
  <c r="X23" i="4"/>
  <c r="X13" i="4"/>
  <c r="X64" i="4"/>
  <c r="X65" i="4"/>
  <c r="X63" i="4"/>
  <c r="AH64" i="4"/>
  <c r="AH65" i="4"/>
  <c r="AH63" i="4"/>
  <c r="D23" i="4"/>
  <c r="D13" i="4"/>
  <c r="D64" i="4"/>
  <c r="D63" i="4"/>
  <c r="D65" i="4"/>
  <c r="Y23" i="4"/>
  <c r="Y13" i="4"/>
  <c r="AE23" i="4"/>
  <c r="AI23" i="4"/>
  <c r="AI13" i="4"/>
  <c r="N23" i="4"/>
  <c r="J23" i="4"/>
  <c r="AB23" i="4"/>
  <c r="T23" i="4"/>
  <c r="AF23" i="4"/>
  <c r="AF13" i="4"/>
  <c r="AN23" i="4"/>
  <c r="AN13" i="4"/>
  <c r="L13" i="4"/>
  <c r="C20" i="4"/>
  <c r="C34" i="4"/>
  <c r="E73" i="4"/>
  <c r="AB42" i="4"/>
  <c r="N42" i="4"/>
  <c r="M73" i="4"/>
  <c r="AG73" i="4"/>
  <c r="K73" i="4"/>
  <c r="AJ73" i="4"/>
  <c r="Z73" i="4"/>
  <c r="AO73" i="4"/>
  <c r="R73" i="4"/>
  <c r="AM73" i="4"/>
  <c r="J73" i="4"/>
  <c r="W73" i="4"/>
  <c r="AE73" i="4"/>
  <c r="Y73" i="4"/>
  <c r="X73" i="4"/>
  <c r="D73" i="4"/>
  <c r="H73" i="4"/>
  <c r="AN73" i="4"/>
  <c r="I73" i="4"/>
  <c r="N73" i="4"/>
  <c r="F73" i="4"/>
  <c r="T73" i="4"/>
  <c r="AB73" i="4"/>
  <c r="V73" i="4"/>
  <c r="AK73" i="4"/>
  <c r="AA73" i="4"/>
  <c r="AI73" i="4"/>
  <c r="AH73" i="4"/>
  <c r="L73" i="4"/>
  <c r="Q73" i="4"/>
  <c r="AL73" i="4"/>
  <c r="AF73" i="4"/>
  <c r="AP73" i="4"/>
  <c r="U73" i="4"/>
  <c r="AP42" i="4"/>
  <c r="I13" i="4"/>
  <c r="AG13" i="4"/>
  <c r="S13" i="4"/>
  <c r="G13" i="4"/>
  <c r="H13" i="4"/>
  <c r="R13" i="4"/>
  <c r="AK13" i="4"/>
  <c r="T13" i="4"/>
  <c r="J13" i="4"/>
  <c r="N13" i="4"/>
  <c r="AB13" i="4"/>
  <c r="AE13" i="4"/>
  <c r="A73" i="4"/>
  <c r="N3" i="6"/>
  <c r="A65" i="4"/>
  <c r="N2" i="6"/>
  <c r="A64" i="4"/>
  <c r="N1" i="6"/>
  <c r="A63" i="4"/>
  <c r="H6" i="1"/>
  <c r="F6" i="1"/>
  <c r="D6" i="1"/>
  <c r="D17" i="4"/>
  <c r="B13" i="4"/>
  <c r="N24" i="4"/>
  <c r="N19" i="4"/>
  <c r="N28" i="4"/>
  <c r="N35" i="4"/>
  <c r="O35" i="4"/>
  <c r="C52" i="4"/>
  <c r="D39" i="6"/>
  <c r="H40" i="1"/>
  <c r="F40" i="1"/>
  <c r="D40" i="1"/>
  <c r="AK24" i="4"/>
  <c r="AK19" i="4"/>
  <c r="AK28" i="4"/>
  <c r="AK35" i="4"/>
  <c r="AK41" i="4"/>
  <c r="Z24" i="4"/>
  <c r="Z19" i="4"/>
  <c r="Z28" i="4"/>
  <c r="Z35" i="4"/>
  <c r="Z41" i="4"/>
  <c r="W24" i="4"/>
  <c r="W19" i="4"/>
  <c r="W28" i="4"/>
  <c r="W35" i="4"/>
  <c r="W41" i="4"/>
  <c r="F24" i="4"/>
  <c r="F19" i="4"/>
  <c r="F28" i="4"/>
  <c r="F35" i="4"/>
  <c r="AN24" i="4"/>
  <c r="AN19" i="4"/>
  <c r="AN28" i="4"/>
  <c r="AN35" i="4"/>
  <c r="AN41" i="4"/>
  <c r="AH24" i="4"/>
  <c r="AH19" i="4"/>
  <c r="AH28" i="4"/>
  <c r="AH35" i="4"/>
  <c r="AH41" i="4"/>
  <c r="X24" i="4"/>
  <c r="X19" i="4"/>
  <c r="X28" i="4"/>
  <c r="X35" i="4"/>
  <c r="X41" i="4"/>
  <c r="U24" i="4"/>
  <c r="U19" i="4"/>
  <c r="U28" i="4"/>
  <c r="U35" i="4"/>
  <c r="U41" i="4"/>
  <c r="L24" i="4"/>
  <c r="L19" i="4"/>
  <c r="L28" i="4"/>
  <c r="L35" i="4"/>
  <c r="AM24" i="4"/>
  <c r="AM19" i="4"/>
  <c r="AM28" i="4"/>
  <c r="AM35" i="4"/>
  <c r="AM41" i="4"/>
  <c r="AI24" i="4"/>
  <c r="AI19" i="4"/>
  <c r="AI28" i="4"/>
  <c r="AI35" i="4"/>
  <c r="AI41" i="4"/>
  <c r="Q24" i="4"/>
  <c r="Q19" i="4"/>
  <c r="Q28" i="4"/>
  <c r="Q35" i="4"/>
  <c r="Q41" i="4"/>
  <c r="V24" i="4"/>
  <c r="V19" i="4"/>
  <c r="V28" i="4"/>
  <c r="V35" i="4"/>
  <c r="V41" i="4"/>
  <c r="AA24" i="4"/>
  <c r="AA19" i="4"/>
  <c r="AA28" i="4"/>
  <c r="AA35" i="4"/>
  <c r="AA41" i="4"/>
  <c r="S24" i="4"/>
  <c r="S19" i="4"/>
  <c r="S28" i="4"/>
  <c r="S35" i="4"/>
  <c r="S41" i="4"/>
  <c r="E24" i="4"/>
  <c r="E19" i="4"/>
  <c r="G24" i="4"/>
  <c r="G19" i="4"/>
  <c r="G28" i="4"/>
  <c r="G35" i="4"/>
  <c r="AO24" i="4"/>
  <c r="AO19" i="4"/>
  <c r="AO28" i="4"/>
  <c r="AO35" i="4"/>
  <c r="AO41" i="4"/>
  <c r="AF24" i="4"/>
  <c r="AF19" i="4"/>
  <c r="AF28" i="4"/>
  <c r="AF35" i="4"/>
  <c r="AF41" i="4"/>
  <c r="AG24" i="4"/>
  <c r="AG19" i="4"/>
  <c r="AG28" i="4"/>
  <c r="AG35" i="4"/>
  <c r="AG41" i="4"/>
  <c r="J24" i="4"/>
  <c r="J19" i="4"/>
  <c r="J28" i="4"/>
  <c r="J35" i="4"/>
  <c r="K24" i="4"/>
  <c r="K19" i="4"/>
  <c r="K28" i="4"/>
  <c r="K35" i="4"/>
  <c r="AJ24" i="4"/>
  <c r="AJ19" i="4"/>
  <c r="AJ28" i="4"/>
  <c r="AJ35" i="4"/>
  <c r="AJ41" i="4"/>
  <c r="AE24" i="4"/>
  <c r="AE19" i="4"/>
  <c r="AE28" i="4"/>
  <c r="AE35" i="4"/>
  <c r="AE41" i="4"/>
  <c r="M24" i="4"/>
  <c r="M19" i="4"/>
  <c r="M28" i="4"/>
  <c r="M35" i="4"/>
  <c r="I24" i="4"/>
  <c r="I19" i="4"/>
  <c r="I28" i="4"/>
  <c r="I35" i="4"/>
  <c r="AP24" i="4"/>
  <c r="AP19" i="4"/>
  <c r="AP28" i="4"/>
  <c r="AP35" i="4"/>
  <c r="AL24" i="4"/>
  <c r="AL19" i="4"/>
  <c r="AL28" i="4"/>
  <c r="AL35" i="4"/>
  <c r="AL41" i="4"/>
  <c r="R24" i="4"/>
  <c r="R19" i="4"/>
  <c r="R28" i="4"/>
  <c r="R35" i="4"/>
  <c r="R41" i="4"/>
  <c r="AB24" i="4"/>
  <c r="AB19" i="4"/>
  <c r="AB28" i="4"/>
  <c r="AB35" i="4"/>
  <c r="T24" i="4"/>
  <c r="T19" i="4"/>
  <c r="T28" i="4"/>
  <c r="T35" i="4"/>
  <c r="T41" i="4"/>
  <c r="Y24" i="4"/>
  <c r="Y19" i="4"/>
  <c r="Y28" i="4"/>
  <c r="Y35" i="4"/>
  <c r="Y41" i="4"/>
  <c r="H24" i="4"/>
  <c r="H19" i="4"/>
  <c r="H28" i="4"/>
  <c r="H35" i="4"/>
  <c r="D24" i="4"/>
  <c r="C24" i="4"/>
  <c r="H58" i="1"/>
  <c r="A55" i="1"/>
  <c r="D58" i="1"/>
  <c r="A53" i="1"/>
  <c r="F58" i="1"/>
  <c r="A54" i="1"/>
  <c r="AQ35" i="4"/>
  <c r="AS35" i="4"/>
  <c r="AP41" i="4"/>
  <c r="AB41" i="4"/>
  <c r="AC35" i="4"/>
  <c r="D19" i="4"/>
  <c r="C25" i="4"/>
  <c r="D22" i="4"/>
  <c r="D25" i="4"/>
  <c r="E22" i="4"/>
  <c r="E25" i="4"/>
  <c r="F22" i="4"/>
  <c r="F25" i="4"/>
  <c r="G22" i="4"/>
  <c r="G25" i="4"/>
  <c r="H22" i="4"/>
  <c r="H25" i="4"/>
  <c r="I22" i="4"/>
  <c r="I25" i="4"/>
  <c r="J22" i="4"/>
  <c r="J25" i="4"/>
  <c r="K22" i="4"/>
  <c r="K25" i="4"/>
  <c r="L22" i="4"/>
  <c r="L25" i="4"/>
  <c r="M22" i="4"/>
  <c r="M25" i="4"/>
  <c r="N22" i="4"/>
  <c r="N25" i="4"/>
  <c r="Q22" i="4"/>
  <c r="Q25" i="4"/>
  <c r="R22" i="4"/>
  <c r="R25" i="4"/>
  <c r="S22" i="4"/>
  <c r="S25" i="4"/>
  <c r="T22" i="4"/>
  <c r="T25" i="4"/>
  <c r="U22" i="4"/>
  <c r="U25" i="4"/>
  <c r="V22" i="4"/>
  <c r="V25" i="4"/>
  <c r="W22" i="4"/>
  <c r="W25" i="4"/>
  <c r="X22" i="4"/>
  <c r="X25" i="4"/>
  <c r="Y22" i="4"/>
  <c r="Y25" i="4"/>
  <c r="Z22" i="4"/>
  <c r="Z25" i="4"/>
  <c r="AA22" i="4"/>
  <c r="AA25" i="4"/>
  <c r="AB22" i="4"/>
  <c r="AB25" i="4"/>
  <c r="AE22" i="4"/>
  <c r="AE25" i="4"/>
  <c r="AF22" i="4"/>
  <c r="AF25" i="4"/>
  <c r="AG22" i="4"/>
  <c r="AG25" i="4"/>
  <c r="AH22" i="4"/>
  <c r="AH25" i="4"/>
  <c r="AI22" i="4"/>
  <c r="AI25" i="4"/>
  <c r="AJ22" i="4"/>
  <c r="AJ25" i="4"/>
  <c r="AK22" i="4"/>
  <c r="AK25" i="4"/>
  <c r="AL22" i="4"/>
  <c r="AL25" i="4"/>
  <c r="AM22" i="4"/>
  <c r="AM25" i="4"/>
  <c r="AN22" i="4"/>
  <c r="AN25" i="4"/>
  <c r="AO22" i="4"/>
  <c r="AO25" i="4"/>
  <c r="AP22" i="4"/>
  <c r="AP25" i="4"/>
  <c r="C40" i="4"/>
  <c r="C37" i="4"/>
  <c r="C2" i="4"/>
  <c r="C47" i="4"/>
  <c r="C69" i="4"/>
  <c r="C68" i="4"/>
  <c r="C70" i="4"/>
  <c r="D28" i="4"/>
  <c r="D35" i="4"/>
  <c r="D41" i="4"/>
  <c r="D20" i="4"/>
  <c r="AQ58" i="4"/>
  <c r="AQ57" i="4"/>
  <c r="AQ55" i="4"/>
  <c r="AQ56" i="4"/>
  <c r="AQ54" i="4"/>
  <c r="AQ53" i="4"/>
  <c r="AQ52" i="4"/>
  <c r="AC58" i="4"/>
  <c r="AC57" i="4"/>
  <c r="AC55" i="4"/>
  <c r="AC56" i="4"/>
  <c r="AC54" i="4"/>
  <c r="AC53" i="4"/>
  <c r="AC52" i="4"/>
  <c r="A53" i="4"/>
  <c r="C74" i="4"/>
  <c r="E17" i="4"/>
  <c r="E20" i="4"/>
  <c r="E34" i="4"/>
  <c r="D34" i="4"/>
  <c r="C53" i="4"/>
  <c r="D40" i="4"/>
  <c r="D37" i="4"/>
  <c r="C3" i="4"/>
  <c r="D3" i="4"/>
  <c r="E3" i="4"/>
  <c r="F3" i="4"/>
  <c r="G3" i="4"/>
  <c r="H3" i="4"/>
  <c r="I3" i="4"/>
  <c r="J3" i="4"/>
  <c r="K3" i="4"/>
  <c r="L3" i="4"/>
  <c r="M3" i="4"/>
  <c r="N3" i="4"/>
  <c r="Q3" i="4"/>
  <c r="R3" i="4"/>
  <c r="S3" i="4"/>
  <c r="T3" i="4"/>
  <c r="U3" i="4"/>
  <c r="V3" i="4"/>
  <c r="W3" i="4"/>
  <c r="X3" i="4"/>
  <c r="Y3" i="4"/>
  <c r="Z3" i="4"/>
  <c r="AA3" i="4"/>
  <c r="AB3" i="4"/>
  <c r="AE3" i="4"/>
  <c r="AF3" i="4"/>
  <c r="AG3" i="4"/>
  <c r="AH3" i="4"/>
  <c r="AI3" i="4"/>
  <c r="AJ3" i="4"/>
  <c r="AK3" i="4"/>
  <c r="AL3" i="4"/>
  <c r="AM3" i="4"/>
  <c r="AN3" i="4"/>
  <c r="AO3" i="4"/>
  <c r="AP3" i="4"/>
  <c r="AS45" i="4"/>
  <c r="AS50" i="4"/>
  <c r="AS61" i="4"/>
  <c r="AS88" i="4"/>
  <c r="AS100" i="4"/>
  <c r="Q59" i="4"/>
  <c r="R59" i="4"/>
  <c r="S59" i="4"/>
  <c r="T59" i="4"/>
  <c r="U59" i="4"/>
  <c r="V59" i="4"/>
  <c r="W59" i="4"/>
  <c r="X59" i="4"/>
  <c r="Y59" i="4"/>
  <c r="Z59" i="4"/>
  <c r="AA59" i="4"/>
  <c r="AB59" i="4"/>
  <c r="AE59" i="4"/>
  <c r="AE93" i="4"/>
  <c r="AF59" i="4"/>
  <c r="AF93" i="4"/>
  <c r="AG59" i="4"/>
  <c r="AG93" i="4"/>
  <c r="AH59" i="4"/>
  <c r="AH93" i="4"/>
  <c r="AI59" i="4"/>
  <c r="AI93" i="4"/>
  <c r="AJ59" i="4"/>
  <c r="AJ93" i="4"/>
  <c r="AK59" i="4"/>
  <c r="AK93" i="4"/>
  <c r="AL59" i="4"/>
  <c r="AL93" i="4"/>
  <c r="AM59" i="4"/>
  <c r="AM93" i="4"/>
  <c r="AN59" i="4"/>
  <c r="AN93" i="4"/>
  <c r="AO59" i="4"/>
  <c r="AO93" i="4"/>
  <c r="AP59" i="4"/>
  <c r="AP93" i="4"/>
  <c r="N59" i="4"/>
  <c r="AQ106" i="4"/>
  <c r="AQ105" i="4"/>
  <c r="AR45" i="4"/>
  <c r="AR50" i="4"/>
  <c r="AR61" i="4"/>
  <c r="AR88" i="4"/>
  <c r="AR100" i="4"/>
  <c r="AQ45" i="4"/>
  <c r="AQ50" i="4"/>
  <c r="AQ61" i="4"/>
  <c r="AQ88" i="4"/>
  <c r="AQ100" i="4"/>
  <c r="AC106" i="4"/>
  <c r="AC105" i="4"/>
  <c r="AD45" i="4"/>
  <c r="AD50" i="4"/>
  <c r="AD61" i="4"/>
  <c r="AD88" i="4"/>
  <c r="AD100" i="4"/>
  <c r="AC45" i="4"/>
  <c r="AC50" i="4"/>
  <c r="AC61" i="4"/>
  <c r="AC88" i="4"/>
  <c r="AC100" i="4"/>
  <c r="P45" i="4"/>
  <c r="P50" i="4"/>
  <c r="P61" i="4"/>
  <c r="P88" i="4"/>
  <c r="P100" i="4"/>
  <c r="O45" i="4"/>
  <c r="O50" i="4"/>
  <c r="O61" i="4"/>
  <c r="O88" i="4"/>
  <c r="O100" i="4"/>
  <c r="O107" i="4"/>
  <c r="AS107" i="4"/>
  <c r="D47" i="4"/>
  <c r="D70" i="4"/>
  <c r="D69" i="4"/>
  <c r="D68" i="4"/>
  <c r="AC59" i="4"/>
  <c r="AQ78" i="4"/>
  <c r="AR78" i="4"/>
  <c r="AQ79" i="4"/>
  <c r="AR79" i="4"/>
  <c r="AQ80" i="4"/>
  <c r="AR80" i="4"/>
  <c r="AQ81" i="4"/>
  <c r="AR81" i="4"/>
  <c r="AQ82" i="4"/>
  <c r="AR82" i="4"/>
  <c r="AQ83" i="4"/>
  <c r="AR83" i="4"/>
  <c r="AQ84" i="4"/>
  <c r="AR84" i="4"/>
  <c r="AQ59" i="4"/>
  <c r="AQ93" i="4"/>
  <c r="D74" i="4"/>
  <c r="A84" i="4"/>
  <c r="A83" i="4"/>
  <c r="A82" i="4"/>
  <c r="A81" i="4"/>
  <c r="A80" i="4"/>
  <c r="A79" i="4"/>
  <c r="A78" i="4"/>
  <c r="A77" i="4"/>
  <c r="A74" i="4"/>
  <c r="D59" i="4"/>
  <c r="E59" i="4"/>
  <c r="F59" i="4"/>
  <c r="G59" i="4"/>
  <c r="H59" i="4"/>
  <c r="I59" i="4"/>
  <c r="J59" i="4"/>
  <c r="K59" i="4"/>
  <c r="L59" i="4"/>
  <c r="M59" i="4"/>
  <c r="S93" i="4"/>
  <c r="T93" i="4"/>
  <c r="U93" i="4"/>
  <c r="W93" i="4"/>
  <c r="X93" i="4"/>
  <c r="Y93" i="4"/>
  <c r="AA93" i="4"/>
  <c r="AB93" i="4"/>
  <c r="C58" i="4"/>
  <c r="C57" i="4"/>
  <c r="C55" i="4"/>
  <c r="O55" i="4"/>
  <c r="AS55" i="4"/>
  <c r="C56" i="4"/>
  <c r="O56" i="4"/>
  <c r="AS56" i="4"/>
  <c r="C54" i="4"/>
  <c r="A58" i="4"/>
  <c r="A57" i="4"/>
  <c r="A55" i="4"/>
  <c r="A56" i="4"/>
  <c r="A54" i="4"/>
  <c r="A52" i="4"/>
  <c r="Z93" i="4"/>
  <c r="V93" i="4"/>
  <c r="R93" i="4"/>
  <c r="C6" i="4"/>
  <c r="C39" i="4"/>
  <c r="O54" i="4"/>
  <c r="AS54" i="4"/>
  <c r="O53" i="4"/>
  <c r="AS53" i="4"/>
  <c r="O57" i="4"/>
  <c r="AS57" i="4"/>
  <c r="O81" i="4"/>
  <c r="AC83" i="4"/>
  <c r="AD83" i="4"/>
  <c r="AC80" i="4"/>
  <c r="AD80" i="4"/>
  <c r="AC78" i="4"/>
  <c r="AD78" i="4"/>
  <c r="AC84" i="4"/>
  <c r="AD84" i="4"/>
  <c r="AC82" i="4"/>
  <c r="AD82" i="4"/>
  <c r="AC81" i="4"/>
  <c r="AD81" i="4"/>
  <c r="AC79" i="4"/>
  <c r="AD79" i="4"/>
  <c r="O79" i="4"/>
  <c r="O78" i="4"/>
  <c r="O80" i="4"/>
  <c r="O83" i="4"/>
  <c r="D6" i="4"/>
  <c r="D39" i="4"/>
  <c r="Q93" i="4"/>
  <c r="AC93" i="4"/>
  <c r="P80" i="4"/>
  <c r="AS80" i="4"/>
  <c r="P78" i="4"/>
  <c r="AS78" i="4"/>
  <c r="P83" i="4"/>
  <c r="AS83" i="4"/>
  <c r="P79" i="4"/>
  <c r="AS79" i="4"/>
  <c r="P81" i="4"/>
  <c r="AS81" i="4"/>
  <c r="E6" i="4"/>
  <c r="E39" i="4"/>
  <c r="F6" i="4"/>
  <c r="F39" i="4"/>
  <c r="G6" i="4"/>
  <c r="G39" i="4"/>
  <c r="H6" i="4"/>
  <c r="H39" i="4"/>
  <c r="O52" i="4"/>
  <c r="AQ77" i="4"/>
  <c r="AR77" i="4"/>
  <c r="AC77" i="4"/>
  <c r="AD77" i="4"/>
  <c r="O77" i="4"/>
  <c r="I6" i="4"/>
  <c r="I39" i="4"/>
  <c r="AS52" i="4"/>
  <c r="C43" i="4"/>
  <c r="P77" i="4"/>
  <c r="AS77" i="4"/>
  <c r="J6" i="4"/>
  <c r="J39" i="4"/>
  <c r="D43" i="4"/>
  <c r="AQ41" i="4"/>
  <c r="AR41" i="4"/>
  <c r="AQ42" i="4"/>
  <c r="AR42" i="4"/>
  <c r="AC42" i="4"/>
  <c r="AD42" i="4"/>
  <c r="AC41" i="4"/>
  <c r="AD41" i="4"/>
  <c r="K6" i="4"/>
  <c r="K39" i="4"/>
  <c r="A93" i="4"/>
  <c r="A97" i="4"/>
  <c r="A94" i="4"/>
  <c r="A91" i="4"/>
  <c r="D48" i="4"/>
  <c r="C48" i="4"/>
  <c r="L6" i="4"/>
  <c r="L39" i="4"/>
  <c r="I93" i="4"/>
  <c r="G93" i="4"/>
  <c r="E93" i="4"/>
  <c r="F93" i="4"/>
  <c r="J93" i="4"/>
  <c r="N93" i="4"/>
  <c r="D93" i="4"/>
  <c r="H93" i="4"/>
  <c r="L93" i="4"/>
  <c r="D50" i="4"/>
  <c r="C50" i="4"/>
  <c r="AQ73" i="4"/>
  <c r="AC73" i="4"/>
  <c r="M6" i="4"/>
  <c r="M39" i="4"/>
  <c r="E50" i="4"/>
  <c r="K93" i="4"/>
  <c r="M93" i="4"/>
  <c r="C112" i="4"/>
  <c r="C88" i="4"/>
  <c r="C100" i="4"/>
  <c r="C61" i="4"/>
  <c r="C45" i="4"/>
  <c r="C11" i="4"/>
  <c r="D100" i="4"/>
  <c r="D112" i="4"/>
  <c r="D88" i="4"/>
  <c r="D61" i="4"/>
  <c r="D11" i="4"/>
  <c r="D45" i="4"/>
  <c r="D85" i="4"/>
  <c r="O82" i="4"/>
  <c r="P82" i="4"/>
  <c r="C85" i="4"/>
  <c r="O73" i="4"/>
  <c r="C59" i="4"/>
  <c r="O58" i="4"/>
  <c r="AS58" i="4"/>
  <c r="AR73" i="4"/>
  <c r="AD73" i="4"/>
  <c r="D90" i="4"/>
  <c r="D102" i="4"/>
  <c r="N6" i="4"/>
  <c r="N39" i="4"/>
  <c r="F50" i="4"/>
  <c r="E112" i="4"/>
  <c r="E100" i="4"/>
  <c r="E88" i="4"/>
  <c r="E61" i="4"/>
  <c r="E45" i="4"/>
  <c r="E11" i="4"/>
  <c r="C90" i="4"/>
  <c r="C103" i="4"/>
  <c r="O84" i="4"/>
  <c r="AS82" i="4"/>
  <c r="P73" i="4"/>
  <c r="F43" i="6"/>
  <c r="AS73" i="4"/>
  <c r="O59" i="4"/>
  <c r="AS59" i="4"/>
  <c r="Q6" i="4"/>
  <c r="Q39" i="4"/>
  <c r="G50" i="4"/>
  <c r="C102" i="4"/>
  <c r="F100" i="4"/>
  <c r="F112" i="4"/>
  <c r="F88" i="4"/>
  <c r="F61" i="4"/>
  <c r="F11" i="4"/>
  <c r="F45" i="4"/>
  <c r="AS84" i="4"/>
  <c r="P84" i="4"/>
  <c r="Q112" i="4"/>
  <c r="Q61" i="4"/>
  <c r="Q45" i="4"/>
  <c r="Q100" i="4"/>
  <c r="Q88" i="4"/>
  <c r="Q50" i="4"/>
  <c r="Q11" i="4"/>
  <c r="R6" i="4"/>
  <c r="R39" i="4"/>
  <c r="H50" i="4"/>
  <c r="D91" i="4"/>
  <c r="D92" i="4"/>
  <c r="C91" i="4"/>
  <c r="C93" i="4"/>
  <c r="C105" i="4"/>
  <c r="G112" i="4"/>
  <c r="G88" i="4"/>
  <c r="G100" i="4"/>
  <c r="G61" i="4"/>
  <c r="G45" i="4"/>
  <c r="G11" i="4"/>
  <c r="C92" i="4"/>
  <c r="C106" i="4"/>
  <c r="O105" i="4"/>
  <c r="AS105" i="4"/>
  <c r="R100" i="4"/>
  <c r="R88" i="4"/>
  <c r="R50" i="4"/>
  <c r="R11" i="4"/>
  <c r="R61" i="4"/>
  <c r="R45" i="4"/>
  <c r="R112" i="4"/>
  <c r="S6" i="4"/>
  <c r="S39" i="4"/>
  <c r="D94" i="4"/>
  <c r="D95" i="4"/>
  <c r="D103" i="4"/>
  <c r="I50" i="4"/>
  <c r="H100" i="4"/>
  <c r="H112" i="4"/>
  <c r="H88" i="4"/>
  <c r="H61" i="4"/>
  <c r="H11" i="4"/>
  <c r="H45" i="4"/>
  <c r="D104" i="4"/>
  <c r="O106" i="4"/>
  <c r="AS106" i="4"/>
  <c r="D96" i="4"/>
  <c r="T6" i="4"/>
  <c r="T39" i="4"/>
  <c r="S100" i="4"/>
  <c r="S88" i="4"/>
  <c r="S50" i="4"/>
  <c r="S11" i="4"/>
  <c r="S112" i="4"/>
  <c r="S61" i="4"/>
  <c r="S45" i="4"/>
  <c r="J50" i="4"/>
  <c r="C104" i="4"/>
  <c r="C94" i="4"/>
  <c r="O93" i="4"/>
  <c r="AS93" i="4"/>
  <c r="I112" i="4"/>
  <c r="I100" i="4"/>
  <c r="I88" i="4"/>
  <c r="I61" i="4"/>
  <c r="I45" i="4"/>
  <c r="I11" i="4"/>
  <c r="C96" i="4"/>
  <c r="C123" i="4"/>
  <c r="U6" i="4"/>
  <c r="U39" i="4"/>
  <c r="T88" i="4"/>
  <c r="T11" i="4"/>
  <c r="T61" i="4"/>
  <c r="T112" i="4"/>
  <c r="T50" i="4"/>
  <c r="T100" i="4"/>
  <c r="T45" i="4"/>
  <c r="C95" i="4"/>
  <c r="C108" i="4"/>
  <c r="D107" i="4"/>
  <c r="D108" i="4"/>
  <c r="E107" i="4"/>
  <c r="C115" i="4"/>
  <c r="D115" i="4"/>
  <c r="K50" i="4"/>
  <c r="J100" i="4"/>
  <c r="J112" i="4"/>
  <c r="J88" i="4"/>
  <c r="J61" i="4"/>
  <c r="J11" i="4"/>
  <c r="J45" i="4"/>
  <c r="D123" i="4"/>
  <c r="C97" i="4"/>
  <c r="U112" i="4"/>
  <c r="U100" i="4"/>
  <c r="U50" i="4"/>
  <c r="U88" i="4"/>
  <c r="U11" i="4"/>
  <c r="U45" i="4"/>
  <c r="U61" i="4"/>
  <c r="V6" i="4"/>
  <c r="V39" i="4"/>
  <c r="L50" i="4"/>
  <c r="K112" i="4"/>
  <c r="K88" i="4"/>
  <c r="K100" i="4"/>
  <c r="K61" i="4"/>
  <c r="K45" i="4"/>
  <c r="K11" i="4"/>
  <c r="D97" i="4"/>
  <c r="C122" i="4"/>
  <c r="W6" i="4"/>
  <c r="W39" i="4"/>
  <c r="V88" i="4"/>
  <c r="V50" i="4"/>
  <c r="V11" i="4"/>
  <c r="V112" i="4"/>
  <c r="V61" i="4"/>
  <c r="V45" i="4"/>
  <c r="V100" i="4"/>
  <c r="M50" i="4"/>
  <c r="L100" i="4"/>
  <c r="L112" i="4"/>
  <c r="L88" i="4"/>
  <c r="L61" i="4"/>
  <c r="L11" i="4"/>
  <c r="L45" i="4"/>
  <c r="D122" i="4"/>
  <c r="W100" i="4"/>
  <c r="W88" i="4"/>
  <c r="W50" i="4"/>
  <c r="W11" i="4"/>
  <c r="W112" i="4"/>
  <c r="W61" i="4"/>
  <c r="W45" i="4"/>
  <c r="X6" i="4"/>
  <c r="X39" i="4"/>
  <c r="M112" i="4"/>
  <c r="M100" i="4"/>
  <c r="M88" i="4"/>
  <c r="M61" i="4"/>
  <c r="M45" i="4"/>
  <c r="M11" i="4"/>
  <c r="N50" i="4"/>
  <c r="Y6" i="4"/>
  <c r="Y39" i="4"/>
  <c r="X112" i="4"/>
  <c r="X88" i="4"/>
  <c r="X50" i="4"/>
  <c r="X11" i="4"/>
  <c r="X100" i="4"/>
  <c r="X61" i="4"/>
  <c r="X45" i="4"/>
  <c r="N100" i="4"/>
  <c r="N112" i="4"/>
  <c r="N88" i="4"/>
  <c r="N61" i="4"/>
  <c r="N11" i="4"/>
  <c r="N45" i="4"/>
  <c r="Y112" i="4"/>
  <c r="Y61" i="4"/>
  <c r="Y45" i="4"/>
  <c r="Y100" i="4"/>
  <c r="Y88" i="4"/>
  <c r="Y50" i="4"/>
  <c r="Y11" i="4"/>
  <c r="Z6" i="4"/>
  <c r="Z39" i="4"/>
  <c r="AA6" i="4"/>
  <c r="AA39" i="4"/>
  <c r="Z112" i="4"/>
  <c r="Z61" i="4"/>
  <c r="Z45" i="4"/>
  <c r="Z100" i="4"/>
  <c r="Z88" i="4"/>
  <c r="Z50" i="4"/>
  <c r="Z11" i="4"/>
  <c r="AB6" i="4"/>
  <c r="AA100" i="4"/>
  <c r="AA88" i="4"/>
  <c r="AA50" i="4"/>
  <c r="AA11" i="4"/>
  <c r="AA112" i="4"/>
  <c r="AA61" i="4"/>
  <c r="AA45" i="4"/>
  <c r="AB100" i="4"/>
  <c r="AB39" i="4"/>
  <c r="AB112" i="4"/>
  <c r="AB50" i="4"/>
  <c r="AB61" i="4"/>
  <c r="AB11" i="4"/>
  <c r="AB88" i="4"/>
  <c r="AB45" i="4"/>
  <c r="AE6" i="4"/>
  <c r="AE39" i="4"/>
  <c r="AF6" i="4"/>
  <c r="AF39" i="4"/>
  <c r="AE100" i="4"/>
  <c r="AE112" i="4"/>
  <c r="AE61" i="4"/>
  <c r="AE45" i="4"/>
  <c r="AE11" i="4"/>
  <c r="AE88" i="4"/>
  <c r="AE50" i="4"/>
  <c r="AF112" i="4"/>
  <c r="AF100" i="4"/>
  <c r="AF88" i="4"/>
  <c r="AF61" i="4"/>
  <c r="AF50" i="4"/>
  <c r="AF45" i="4"/>
  <c r="AF11" i="4"/>
  <c r="AG6" i="4"/>
  <c r="AG39" i="4"/>
  <c r="AH6" i="4"/>
  <c r="AH39" i="4"/>
  <c r="AG100" i="4"/>
  <c r="AG112" i="4"/>
  <c r="AG88" i="4"/>
  <c r="AG61" i="4"/>
  <c r="AG50" i="4"/>
  <c r="AG45" i="4"/>
  <c r="AG11" i="4"/>
  <c r="AH112" i="4"/>
  <c r="AH88" i="4"/>
  <c r="AH61" i="4"/>
  <c r="AH50" i="4"/>
  <c r="AH100" i="4"/>
  <c r="AH45" i="4"/>
  <c r="AH11" i="4"/>
  <c r="AI6" i="4"/>
  <c r="AI39" i="4"/>
  <c r="AI100" i="4"/>
  <c r="AI112" i="4"/>
  <c r="AI88" i="4"/>
  <c r="AI50" i="4"/>
  <c r="AI45" i="4"/>
  <c r="AI11" i="4"/>
  <c r="AI61" i="4"/>
  <c r="AJ6" i="4"/>
  <c r="AJ39" i="4"/>
  <c r="AK6" i="4"/>
  <c r="AK39" i="4"/>
  <c r="AJ112" i="4"/>
  <c r="AJ100" i="4"/>
  <c r="AJ88" i="4"/>
  <c r="AJ61" i="4"/>
  <c r="AJ50" i="4"/>
  <c r="AJ45" i="4"/>
  <c r="AJ11" i="4"/>
  <c r="AL6" i="4"/>
  <c r="AL39" i="4"/>
  <c r="AK100" i="4"/>
  <c r="AK112" i="4"/>
  <c r="AK88" i="4"/>
  <c r="AK61" i="4"/>
  <c r="AK50" i="4"/>
  <c r="AK45" i="4"/>
  <c r="AK11" i="4"/>
  <c r="AL112" i="4"/>
  <c r="AL88" i="4"/>
  <c r="AL61" i="4"/>
  <c r="AL50" i="4"/>
  <c r="AL100" i="4"/>
  <c r="AL45" i="4"/>
  <c r="AL11" i="4"/>
  <c r="AM6" i="4"/>
  <c r="AM39" i="4"/>
  <c r="AM100" i="4"/>
  <c r="AM61" i="4"/>
  <c r="AM45" i="4"/>
  <c r="AM11" i="4"/>
  <c r="AM112" i="4"/>
  <c r="AM88" i="4"/>
  <c r="AM50" i="4"/>
  <c r="AN6" i="4"/>
  <c r="AN39" i="4"/>
  <c r="AO6" i="4"/>
  <c r="AO39" i="4"/>
  <c r="AP6" i="4"/>
  <c r="AP39" i="4"/>
  <c r="AN112" i="4"/>
  <c r="AN100" i="4"/>
  <c r="AN88" i="4"/>
  <c r="AN61" i="4"/>
  <c r="AN50" i="4"/>
  <c r="AN45" i="4"/>
  <c r="AN11" i="4"/>
  <c r="AP112" i="4"/>
  <c r="AP88" i="4"/>
  <c r="AP61" i="4"/>
  <c r="AP50" i="4"/>
  <c r="AP100" i="4"/>
  <c r="AP45" i="4"/>
  <c r="AP11" i="4"/>
  <c r="AO100" i="4"/>
  <c r="AO112" i="4"/>
  <c r="AO88" i="4"/>
  <c r="AO61" i="4"/>
  <c r="AO50" i="4"/>
  <c r="AO45" i="4"/>
  <c r="AO11" i="4"/>
  <c r="F17" i="4"/>
  <c r="F20" i="4"/>
  <c r="F34" i="4"/>
  <c r="E28" i="4"/>
  <c r="E35" i="4"/>
  <c r="E41" i="4"/>
  <c r="G17" i="4"/>
  <c r="G20" i="4"/>
  <c r="G34" i="4"/>
  <c r="F41" i="4"/>
  <c r="E40" i="4"/>
  <c r="E37" i="4"/>
  <c r="E47" i="4"/>
  <c r="E70" i="4"/>
  <c r="E68" i="4"/>
  <c r="E69" i="4"/>
  <c r="E48" i="4"/>
  <c r="E91" i="4"/>
  <c r="F40" i="4"/>
  <c r="F43" i="4"/>
  <c r="G41" i="4"/>
  <c r="F37" i="4"/>
  <c r="E43" i="4"/>
  <c r="H17" i="4"/>
  <c r="H20" i="4"/>
  <c r="H34" i="4"/>
  <c r="E74" i="4"/>
  <c r="F47" i="4"/>
  <c r="F48" i="4"/>
  <c r="F91" i="4"/>
  <c r="F68" i="4"/>
  <c r="F69" i="4"/>
  <c r="F70" i="4"/>
  <c r="I17" i="4"/>
  <c r="I20" i="4"/>
  <c r="I34" i="4"/>
  <c r="F90" i="4"/>
  <c r="G40" i="4"/>
  <c r="H41" i="4"/>
  <c r="G37" i="4"/>
  <c r="E90" i="4"/>
  <c r="F74" i="4"/>
  <c r="F85" i="4"/>
  <c r="G47" i="4"/>
  <c r="G48" i="4"/>
  <c r="G91" i="4"/>
  <c r="G69" i="4"/>
  <c r="G68" i="4"/>
  <c r="G70" i="4"/>
  <c r="E102" i="4"/>
  <c r="E92" i="4"/>
  <c r="E85" i="4"/>
  <c r="G43" i="4"/>
  <c r="J17" i="4"/>
  <c r="J20" i="4"/>
  <c r="J34" i="4"/>
  <c r="F102" i="4"/>
  <c r="F92" i="4"/>
  <c r="H40" i="4"/>
  <c r="H43" i="4"/>
  <c r="I41" i="4"/>
  <c r="H37" i="4"/>
  <c r="G74" i="4"/>
  <c r="H47" i="4"/>
  <c r="H48" i="4"/>
  <c r="H91" i="4"/>
  <c r="H70" i="4"/>
  <c r="H69" i="4"/>
  <c r="H68" i="4"/>
  <c r="H90" i="4"/>
  <c r="F94" i="4"/>
  <c r="F95" i="4"/>
  <c r="F103" i="4"/>
  <c r="F104" i="4"/>
  <c r="I40" i="4"/>
  <c r="I43" i="4"/>
  <c r="J41" i="4"/>
  <c r="I37" i="4"/>
  <c r="G90" i="4"/>
  <c r="K17" i="4"/>
  <c r="K20" i="4"/>
  <c r="K34" i="4"/>
  <c r="E94" i="4"/>
  <c r="E103" i="4"/>
  <c r="H74" i="4"/>
  <c r="I47" i="4"/>
  <c r="I48" i="4"/>
  <c r="I91" i="4"/>
  <c r="I70" i="4"/>
  <c r="I68" i="4"/>
  <c r="I69" i="4"/>
  <c r="E104" i="4"/>
  <c r="E115" i="4"/>
  <c r="F115" i="4"/>
  <c r="E95" i="4"/>
  <c r="E97" i="4"/>
  <c r="E122" i="4"/>
  <c r="E96" i="4"/>
  <c r="F96" i="4"/>
  <c r="L17" i="4"/>
  <c r="L20" i="4"/>
  <c r="L34" i="4"/>
  <c r="H85" i="4"/>
  <c r="J40" i="4"/>
  <c r="K41" i="4"/>
  <c r="J37" i="4"/>
  <c r="G102" i="4"/>
  <c r="G92" i="4"/>
  <c r="G85" i="4"/>
  <c r="I90" i="4"/>
  <c r="I102" i="4"/>
  <c r="H92" i="4"/>
  <c r="H102" i="4"/>
  <c r="I74" i="4"/>
  <c r="I85" i="4"/>
  <c r="J47" i="4"/>
  <c r="J68" i="4"/>
  <c r="J69" i="4"/>
  <c r="J70" i="4"/>
  <c r="E108" i="4"/>
  <c r="F107" i="4"/>
  <c r="F108" i="4"/>
  <c r="G107" i="4"/>
  <c r="F97" i="4"/>
  <c r="F122" i="4"/>
  <c r="E123" i="4"/>
  <c r="F123" i="4"/>
  <c r="J48" i="4"/>
  <c r="J91" i="4"/>
  <c r="G94" i="4"/>
  <c r="G103" i="4"/>
  <c r="J43" i="4"/>
  <c r="H94" i="4"/>
  <c r="H95" i="4"/>
  <c r="H103" i="4"/>
  <c r="H104" i="4"/>
  <c r="I92" i="4"/>
  <c r="K40" i="4"/>
  <c r="K43" i="4"/>
  <c r="L41" i="4"/>
  <c r="K37" i="4"/>
  <c r="M17" i="4"/>
  <c r="M20" i="4"/>
  <c r="M34" i="4"/>
  <c r="J74" i="4"/>
  <c r="K47" i="4"/>
  <c r="K48" i="4"/>
  <c r="K91" i="4"/>
  <c r="K69" i="4"/>
  <c r="K68" i="4"/>
  <c r="K70" i="4"/>
  <c r="G95" i="4"/>
  <c r="G97" i="4"/>
  <c r="G122" i="4"/>
  <c r="G104" i="4"/>
  <c r="G108" i="4"/>
  <c r="H107" i="4"/>
  <c r="H108" i="4"/>
  <c r="I107" i="4"/>
  <c r="G96" i="4"/>
  <c r="K90" i="4"/>
  <c r="K102" i="4"/>
  <c r="H96" i="4"/>
  <c r="N17" i="4"/>
  <c r="N20" i="4"/>
  <c r="N34" i="4"/>
  <c r="M41" i="4"/>
  <c r="L40" i="4"/>
  <c r="L43" i="4"/>
  <c r="L37" i="4"/>
  <c r="J90" i="4"/>
  <c r="I94" i="4"/>
  <c r="I96" i="4"/>
  <c r="I103" i="4"/>
  <c r="I104" i="4"/>
  <c r="K74" i="4"/>
  <c r="L47" i="4"/>
  <c r="L48" i="4"/>
  <c r="L91" i="4"/>
  <c r="L70" i="4"/>
  <c r="L69" i="4"/>
  <c r="L68" i="4"/>
  <c r="G115" i="4"/>
  <c r="H115" i="4"/>
  <c r="I115" i="4"/>
  <c r="H97" i="4"/>
  <c r="H122" i="4"/>
  <c r="H123" i="4"/>
  <c r="G123" i="4"/>
  <c r="O34" i="4"/>
  <c r="I108" i="4"/>
  <c r="J107" i="4"/>
  <c r="Q17" i="4"/>
  <c r="Q20" i="4"/>
  <c r="Q34" i="4"/>
  <c r="I123" i="4"/>
  <c r="J85" i="4"/>
  <c r="I95" i="4"/>
  <c r="J102" i="4"/>
  <c r="J92" i="4"/>
  <c r="L90" i="4"/>
  <c r="L102" i="4"/>
  <c r="O42" i="4"/>
  <c r="M40" i="4"/>
  <c r="M43" i="4"/>
  <c r="N41" i="4"/>
  <c r="O41" i="4"/>
  <c r="M37" i="4"/>
  <c r="K85" i="4"/>
  <c r="K92" i="4"/>
  <c r="L74" i="4"/>
  <c r="M47" i="4"/>
  <c r="M48" i="4"/>
  <c r="M91" i="4"/>
  <c r="M70" i="4"/>
  <c r="M68" i="4"/>
  <c r="M69" i="4"/>
  <c r="I97" i="4"/>
  <c r="I122" i="4"/>
  <c r="R17" i="4"/>
  <c r="R20" i="4"/>
  <c r="R34" i="4"/>
  <c r="N40" i="4"/>
  <c r="N43" i="4"/>
  <c r="N37" i="4"/>
  <c r="L92" i="4"/>
  <c r="K94" i="4"/>
  <c r="K96" i="4"/>
  <c r="K103" i="4"/>
  <c r="K104" i="4"/>
  <c r="AS41" i="4"/>
  <c r="P41" i="4"/>
  <c r="AS42" i="4"/>
  <c r="P42" i="4"/>
  <c r="L85" i="4"/>
  <c r="M90" i="4"/>
  <c r="M102" i="4"/>
  <c r="J94" i="4"/>
  <c r="J103" i="4"/>
  <c r="M74" i="4"/>
  <c r="N68" i="4"/>
  <c r="N69" i="4"/>
  <c r="N70" i="4"/>
  <c r="Q37" i="4"/>
  <c r="Q40" i="4"/>
  <c r="J104" i="4"/>
  <c r="J115" i="4"/>
  <c r="K115" i="4"/>
  <c r="J95" i="4"/>
  <c r="J97" i="4"/>
  <c r="J122" i="4"/>
  <c r="K95" i="4"/>
  <c r="S17" i="4"/>
  <c r="S20" i="4"/>
  <c r="O40" i="4"/>
  <c r="P40" i="4"/>
  <c r="P43" i="4"/>
  <c r="D21" i="6"/>
  <c r="N47" i="4"/>
  <c r="O37" i="4"/>
  <c r="J96" i="4"/>
  <c r="M85" i="4"/>
  <c r="L94" i="4"/>
  <c r="L103" i="4"/>
  <c r="L104" i="4"/>
  <c r="M92" i="4"/>
  <c r="N90" i="4"/>
  <c r="O90" i="4"/>
  <c r="N74" i="4"/>
  <c r="O74" i="4"/>
  <c r="O85" i="4"/>
  <c r="Q47" i="4"/>
  <c r="Q48" i="4"/>
  <c r="Q91" i="4"/>
  <c r="Q70" i="4"/>
  <c r="Q69" i="4"/>
  <c r="Q68" i="4"/>
  <c r="S34" i="4"/>
  <c r="S40" i="4"/>
  <c r="S43" i="4"/>
  <c r="J108" i="4"/>
  <c r="K107" i="4"/>
  <c r="K108" i="4"/>
  <c r="L107" i="4"/>
  <c r="L108" i="4"/>
  <c r="M107" i="4"/>
  <c r="T17" i="4"/>
  <c r="T20" i="4"/>
  <c r="O43" i="4"/>
  <c r="R37" i="4"/>
  <c r="R40" i="4"/>
  <c r="R43" i="4"/>
  <c r="Q43" i="4"/>
  <c r="J123" i="4"/>
  <c r="K97" i="4"/>
  <c r="K122" i="4"/>
  <c r="P90" i="4"/>
  <c r="L115" i="4"/>
  <c r="O47" i="4"/>
  <c r="N48" i="4"/>
  <c r="N91" i="4"/>
  <c r="O91" i="4"/>
  <c r="K123" i="4"/>
  <c r="M94" i="4"/>
  <c r="M103" i="4"/>
  <c r="M104" i="4"/>
  <c r="N102" i="4"/>
  <c r="L95" i="4"/>
  <c r="L96" i="4"/>
  <c r="L123" i="4"/>
  <c r="D45" i="6"/>
  <c r="D49" i="6"/>
  <c r="D53" i="6"/>
  <c r="D48" i="6"/>
  <c r="D47" i="6"/>
  <c r="D54" i="6"/>
  <c r="D51" i="6"/>
  <c r="D50" i="6"/>
  <c r="D52" i="6"/>
  <c r="D46" i="6"/>
  <c r="D43" i="6"/>
  <c r="N85" i="4"/>
  <c r="N103" i="4"/>
  <c r="P74" i="4"/>
  <c r="P85" i="4"/>
  <c r="Q74" i="4"/>
  <c r="R47" i="4"/>
  <c r="R48" i="4"/>
  <c r="R91" i="4"/>
  <c r="R70" i="4"/>
  <c r="R69" i="4"/>
  <c r="R68" i="4"/>
  <c r="S37" i="4"/>
  <c r="S90" i="4"/>
  <c r="S102" i="4"/>
  <c r="T34" i="4"/>
  <c r="T37" i="4"/>
  <c r="U17" i="4"/>
  <c r="U20" i="4"/>
  <c r="V17" i="4"/>
  <c r="V20" i="4"/>
  <c r="R90" i="4"/>
  <c r="Q90" i="4"/>
  <c r="M95" i="4"/>
  <c r="L97" i="4"/>
  <c r="L122" i="4"/>
  <c r="F44" i="6"/>
  <c r="O102" i="4"/>
  <c r="M108" i="4"/>
  <c r="N107" i="4"/>
  <c r="M115" i="4"/>
  <c r="M96" i="4"/>
  <c r="M123" i="4"/>
  <c r="N92" i="4"/>
  <c r="O92" i="4"/>
  <c r="O48" i="4"/>
  <c r="P47" i="4"/>
  <c r="P48" i="4"/>
  <c r="H21" i="6"/>
  <c r="P91" i="4"/>
  <c r="N94" i="4"/>
  <c r="O94" i="4"/>
  <c r="R74" i="4"/>
  <c r="R85" i="4"/>
  <c r="R94" i="4"/>
  <c r="F55" i="6"/>
  <c r="D44" i="6"/>
  <c r="D55" i="6"/>
  <c r="T47" i="4"/>
  <c r="T48" i="4"/>
  <c r="T91" i="4"/>
  <c r="T69" i="4"/>
  <c r="T70" i="4"/>
  <c r="T68" i="4"/>
  <c r="S47" i="4"/>
  <c r="S48" i="4"/>
  <c r="S91" i="4"/>
  <c r="S70" i="4"/>
  <c r="S68" i="4"/>
  <c r="S69" i="4"/>
  <c r="S92" i="4"/>
  <c r="V34" i="4"/>
  <c r="V40" i="4"/>
  <c r="V43" i="4"/>
  <c r="T40" i="4"/>
  <c r="T43" i="4"/>
  <c r="U34" i="4"/>
  <c r="U37" i="4"/>
  <c r="R92" i="4"/>
  <c r="R102" i="4"/>
  <c r="Q102" i="4"/>
  <c r="Q92" i="4"/>
  <c r="Q85" i="4"/>
  <c r="P94" i="4"/>
  <c r="N104" i="4"/>
  <c r="N115" i="4"/>
  <c r="O103" i="4"/>
  <c r="M97" i="4"/>
  <c r="M122" i="4"/>
  <c r="P102" i="4"/>
  <c r="N96" i="4"/>
  <c r="N123" i="4"/>
  <c r="W17" i="4"/>
  <c r="W20" i="4"/>
  <c r="N95" i="4"/>
  <c r="P92" i="4"/>
  <c r="R103" i="4"/>
  <c r="R104" i="4"/>
  <c r="T74" i="4"/>
  <c r="S74" i="4"/>
  <c r="S85" i="4"/>
  <c r="S94" i="4"/>
  <c r="S96" i="4"/>
  <c r="U47" i="4"/>
  <c r="U48" i="4"/>
  <c r="U91" i="4"/>
  <c r="U70" i="4"/>
  <c r="U69" i="4"/>
  <c r="U68" i="4"/>
  <c r="V37" i="4"/>
  <c r="V90" i="4"/>
  <c r="V102" i="4"/>
  <c r="T85" i="4"/>
  <c r="T90" i="4"/>
  <c r="W34" i="4"/>
  <c r="W40" i="4"/>
  <c r="W43" i="4"/>
  <c r="U40" i="4"/>
  <c r="U43" i="4"/>
  <c r="N97" i="4"/>
  <c r="O97" i="4"/>
  <c r="N108" i="4"/>
  <c r="Q107" i="4"/>
  <c r="AC107" i="4"/>
  <c r="R95" i="4"/>
  <c r="R96" i="4"/>
  <c r="Q94" i="4"/>
  <c r="Q96" i="4"/>
  <c r="Q103" i="4"/>
  <c r="O104" i="4"/>
  <c r="P104" i="4"/>
  <c r="O96" i="4"/>
  <c r="P96" i="4"/>
  <c r="D58" i="6"/>
  <c r="O95" i="4"/>
  <c r="P95" i="4"/>
  <c r="P103" i="4"/>
  <c r="X17" i="4"/>
  <c r="X20" i="4"/>
  <c r="U74" i="4"/>
  <c r="U85" i="4"/>
  <c r="S95" i="4"/>
  <c r="S103" i="4"/>
  <c r="S104" i="4"/>
  <c r="V47" i="4"/>
  <c r="V48" i="4"/>
  <c r="V91" i="4"/>
  <c r="V92" i="4"/>
  <c r="V70" i="4"/>
  <c r="V69" i="4"/>
  <c r="V68" i="4"/>
  <c r="W37" i="4"/>
  <c r="N122" i="4"/>
  <c r="W90" i="4"/>
  <c r="T102" i="4"/>
  <c r="T92" i="4"/>
  <c r="U90" i="4"/>
  <c r="T103" i="4"/>
  <c r="T94" i="4"/>
  <c r="X34" i="4"/>
  <c r="X40" i="4"/>
  <c r="X43" i="4"/>
  <c r="O108" i="4"/>
  <c r="Q95" i="4"/>
  <c r="Q97" i="4"/>
  <c r="R97" i="4"/>
  <c r="Q123" i="4"/>
  <c r="R123" i="4"/>
  <c r="S123" i="4"/>
  <c r="Q104" i="4"/>
  <c r="Y17" i="4"/>
  <c r="Y20" i="4"/>
  <c r="V74" i="4"/>
  <c r="V85" i="4"/>
  <c r="V94" i="4"/>
  <c r="V95" i="4"/>
  <c r="W47" i="4"/>
  <c r="W48" i="4"/>
  <c r="W91" i="4"/>
  <c r="W92" i="4"/>
  <c r="W69" i="4"/>
  <c r="W70" i="4"/>
  <c r="W68" i="4"/>
  <c r="W102" i="4"/>
  <c r="X37" i="4"/>
  <c r="X90" i="4"/>
  <c r="X102" i="4"/>
  <c r="T96" i="4"/>
  <c r="T123" i="4"/>
  <c r="T95" i="4"/>
  <c r="T104" i="4"/>
  <c r="Y34" i="4"/>
  <c r="Y40" i="4"/>
  <c r="Y43" i="4"/>
  <c r="U94" i="4"/>
  <c r="U103" i="4"/>
  <c r="U102" i="4"/>
  <c r="U92" i="4"/>
  <c r="Q122" i="4"/>
  <c r="Q108" i="4"/>
  <c r="R107" i="4"/>
  <c r="R108" i="4"/>
  <c r="S107" i="4"/>
  <c r="S108" i="4"/>
  <c r="T107" i="4"/>
  <c r="Q115" i="4"/>
  <c r="R115" i="4"/>
  <c r="S115" i="4"/>
  <c r="Z17" i="4"/>
  <c r="Z20" i="4"/>
  <c r="S97" i="4"/>
  <c r="R122" i="4"/>
  <c r="V103" i="4"/>
  <c r="V104" i="4"/>
  <c r="V96" i="4"/>
  <c r="W74" i="4"/>
  <c r="W85" i="4"/>
  <c r="W103" i="4"/>
  <c r="W104" i="4"/>
  <c r="X47" i="4"/>
  <c r="X48" i="4"/>
  <c r="X91" i="4"/>
  <c r="X92" i="4"/>
  <c r="X70" i="4"/>
  <c r="X68" i="4"/>
  <c r="X69" i="4"/>
  <c r="T108" i="4"/>
  <c r="U107" i="4"/>
  <c r="T115" i="4"/>
  <c r="Y37" i="4"/>
  <c r="U96" i="4"/>
  <c r="U95" i="4"/>
  <c r="U104" i="4"/>
  <c r="Z34" i="4"/>
  <c r="Z40" i="4"/>
  <c r="Z43" i="4"/>
  <c r="Y90" i="4"/>
  <c r="AA17" i="4"/>
  <c r="AA20" i="4"/>
  <c r="S122" i="4"/>
  <c r="T97" i="4"/>
  <c r="U108" i="4"/>
  <c r="V107" i="4"/>
  <c r="V108" i="4"/>
  <c r="W107" i="4"/>
  <c r="W108" i="4"/>
  <c r="X107" i="4"/>
  <c r="X74" i="4"/>
  <c r="X85" i="4"/>
  <c r="W94" i="4"/>
  <c r="Y47" i="4"/>
  <c r="Y48" i="4"/>
  <c r="Y91" i="4"/>
  <c r="Y92" i="4"/>
  <c r="Y70" i="4"/>
  <c r="Y69" i="4"/>
  <c r="Y68" i="4"/>
  <c r="Z37" i="4"/>
  <c r="Z90" i="4"/>
  <c r="Z102" i="4"/>
  <c r="U115" i="4"/>
  <c r="V115" i="4"/>
  <c r="W115" i="4"/>
  <c r="U123" i="4"/>
  <c r="V123" i="4"/>
  <c r="AA34" i="4"/>
  <c r="AA40" i="4"/>
  <c r="AA43" i="4"/>
  <c r="Y102" i="4"/>
  <c r="AB17" i="4"/>
  <c r="AB20" i="4"/>
  <c r="AB34" i="4"/>
  <c r="T122" i="4"/>
  <c r="U97" i="4"/>
  <c r="Y74" i="4"/>
  <c r="Y85" i="4"/>
  <c r="Y103" i="4"/>
  <c r="Y104" i="4"/>
  <c r="W96" i="4"/>
  <c r="W123" i="4"/>
  <c r="W95" i="4"/>
  <c r="X94" i="4"/>
  <c r="X103" i="4"/>
  <c r="X104" i="4"/>
  <c r="X108" i="4"/>
  <c r="Y107" i="4"/>
  <c r="Z47" i="4"/>
  <c r="Z48" i="4"/>
  <c r="Z91" i="4"/>
  <c r="Z70" i="4"/>
  <c r="Z69" i="4"/>
  <c r="Z68" i="4"/>
  <c r="Z92" i="4"/>
  <c r="AA37" i="4"/>
  <c r="AA90" i="4"/>
  <c r="AA102" i="4"/>
  <c r="Y94" i="4"/>
  <c r="Y96" i="4"/>
  <c r="AC34" i="4"/>
  <c r="AB40" i="4"/>
  <c r="AE17" i="4"/>
  <c r="AE20" i="4"/>
  <c r="U122" i="4"/>
  <c r="V97" i="4"/>
  <c r="Z74" i="4"/>
  <c r="Z85" i="4"/>
  <c r="X96" i="4"/>
  <c r="X123" i="4"/>
  <c r="X95" i="4"/>
  <c r="X115" i="4"/>
  <c r="Y115" i="4"/>
  <c r="AA47" i="4"/>
  <c r="AA48" i="4"/>
  <c r="AA91" i="4"/>
  <c r="AA70" i="4"/>
  <c r="AA68" i="4"/>
  <c r="AA69" i="4"/>
  <c r="AA92" i="4"/>
  <c r="AE34" i="4"/>
  <c r="AE40" i="4"/>
  <c r="AE43" i="4"/>
  <c r="Y95" i="4"/>
  <c r="AB43" i="4"/>
  <c r="AC40" i="4"/>
  <c r="Y108" i="4"/>
  <c r="Z107" i="4"/>
  <c r="AF17" i="4"/>
  <c r="AF20" i="4"/>
  <c r="AB37" i="4"/>
  <c r="V122" i="4"/>
  <c r="W97" i="4"/>
  <c r="Y123" i="4"/>
  <c r="AA74" i="4"/>
  <c r="AA85" i="4"/>
  <c r="AA103" i="4"/>
  <c r="AA104" i="4"/>
  <c r="Z94" i="4"/>
  <c r="Z103" i="4"/>
  <c r="Z104" i="4"/>
  <c r="Z108" i="4"/>
  <c r="AA107" i="4"/>
  <c r="AB69" i="4"/>
  <c r="AB70" i="4"/>
  <c r="AB68" i="4"/>
  <c r="AE37" i="4"/>
  <c r="AF34" i="4"/>
  <c r="AF40" i="4"/>
  <c r="AF43" i="4"/>
  <c r="AC37" i="4"/>
  <c r="AB47" i="4"/>
  <c r="AB90" i="4"/>
  <c r="AC43" i="4"/>
  <c r="AD40" i="4"/>
  <c r="AD43" i="4"/>
  <c r="AE90" i="4"/>
  <c r="AG17" i="4"/>
  <c r="AG20" i="4"/>
  <c r="X97" i="4"/>
  <c r="W122" i="4"/>
  <c r="AA108" i="4"/>
  <c r="AB107" i="4"/>
  <c r="AB74" i="4"/>
  <c r="AC74" i="4"/>
  <c r="Z96" i="4"/>
  <c r="Z123" i="4"/>
  <c r="Z95" i="4"/>
  <c r="Z115" i="4"/>
  <c r="AA115" i="4"/>
  <c r="AA94" i="4"/>
  <c r="AE47" i="4"/>
  <c r="AE48" i="4"/>
  <c r="AE91" i="4"/>
  <c r="AE70" i="4"/>
  <c r="AE69" i="4"/>
  <c r="AE68" i="4"/>
  <c r="AF37" i="4"/>
  <c r="AF90" i="4"/>
  <c r="AG34" i="4"/>
  <c r="AG37" i="4"/>
  <c r="AB102" i="4"/>
  <c r="AC102" i="4"/>
  <c r="AC90" i="4"/>
  <c r="AB48" i="4"/>
  <c r="AB91" i="4"/>
  <c r="AC91" i="4"/>
  <c r="AC47" i="4"/>
  <c r="AE102" i="4"/>
  <c r="AE92" i="4"/>
  <c r="AB85" i="4"/>
  <c r="AH17" i="4"/>
  <c r="AH20" i="4"/>
  <c r="X122" i="4"/>
  <c r="Y97" i="4"/>
  <c r="AE74" i="4"/>
  <c r="AE85" i="4"/>
  <c r="AE103" i="4"/>
  <c r="AA95" i="4"/>
  <c r="AA96" i="4"/>
  <c r="AA123" i="4"/>
  <c r="AG47" i="4"/>
  <c r="AG48" i="4"/>
  <c r="AG91" i="4"/>
  <c r="AG70" i="4"/>
  <c r="AG69" i="4"/>
  <c r="AG68" i="4"/>
  <c r="AF47" i="4"/>
  <c r="AF48" i="4"/>
  <c r="AF91" i="4"/>
  <c r="AF70" i="4"/>
  <c r="AF69" i="4"/>
  <c r="AF68" i="4"/>
  <c r="AF92" i="4"/>
  <c r="AF102" i="4"/>
  <c r="AH34" i="4"/>
  <c r="AH40" i="4"/>
  <c r="AH43" i="4"/>
  <c r="AG40" i="4"/>
  <c r="AG43" i="4"/>
  <c r="AB94" i="4"/>
  <c r="AB103" i="4"/>
  <c r="AD91" i="4"/>
  <c r="AD90" i="4"/>
  <c r="AB92" i="4"/>
  <c r="AD74" i="4"/>
  <c r="AD85" i="4"/>
  <c r="AC85" i="4"/>
  <c r="AC48" i="4"/>
  <c r="AD47" i="4"/>
  <c r="AD48" i="4"/>
  <c r="AD102" i="4"/>
  <c r="AI17" i="4"/>
  <c r="AI20" i="4"/>
  <c r="Z97" i="4"/>
  <c r="Y122" i="4"/>
  <c r="AE94" i="4"/>
  <c r="AE96" i="4"/>
  <c r="AH37" i="4"/>
  <c r="AH47" i="4"/>
  <c r="AH48" i="4"/>
  <c r="AH91" i="4"/>
  <c r="AF74" i="4"/>
  <c r="AF85" i="4"/>
  <c r="AF103" i="4"/>
  <c r="AF104" i="4"/>
  <c r="AG74" i="4"/>
  <c r="AH69" i="4"/>
  <c r="AH90" i="4"/>
  <c r="AH102" i="4"/>
  <c r="AG85" i="4"/>
  <c r="AG90" i="4"/>
  <c r="AI34" i="4"/>
  <c r="AI40" i="4"/>
  <c r="AI43" i="4"/>
  <c r="AE95" i="4"/>
  <c r="AB104" i="4"/>
  <c r="AC103" i="4"/>
  <c r="AB96" i="4"/>
  <c r="AC94" i="4"/>
  <c r="AB95" i="4"/>
  <c r="AC95" i="4"/>
  <c r="AC92" i="4"/>
  <c r="AE104" i="4"/>
  <c r="AJ17" i="4"/>
  <c r="AJ20" i="4"/>
  <c r="Z122" i="4"/>
  <c r="AA97" i="4"/>
  <c r="AH70" i="4"/>
  <c r="AH68" i="4"/>
  <c r="AH74" i="4"/>
  <c r="AH85" i="4"/>
  <c r="AH94" i="4"/>
  <c r="AH92" i="4"/>
  <c r="AF94" i="4"/>
  <c r="AI37" i="4"/>
  <c r="AH103" i="4"/>
  <c r="AH104" i="4"/>
  <c r="AJ34" i="4"/>
  <c r="AJ40" i="4"/>
  <c r="AJ43" i="4"/>
  <c r="AG102" i="4"/>
  <c r="AG92" i="4"/>
  <c r="AI90" i="4"/>
  <c r="AI102" i="4"/>
  <c r="AG94" i="4"/>
  <c r="AG103" i="4"/>
  <c r="AD94" i="4"/>
  <c r="AB123" i="4"/>
  <c r="AC96" i="4"/>
  <c r="AD96" i="4"/>
  <c r="D60" i="6"/>
  <c r="AE123" i="4"/>
  <c r="AD92" i="4"/>
  <c r="AD103" i="4"/>
  <c r="AD95" i="4"/>
  <c r="AC104" i="4"/>
  <c r="AB108" i="4"/>
  <c r="AB115" i="4"/>
  <c r="AE115" i="4"/>
  <c r="AF115" i="4"/>
  <c r="AK17" i="4"/>
  <c r="AK20" i="4"/>
  <c r="AA122" i="4"/>
  <c r="AB97" i="4"/>
  <c r="AJ37" i="4"/>
  <c r="AH96" i="4"/>
  <c r="AH95" i="4"/>
  <c r="AF96" i="4"/>
  <c r="AF123" i="4"/>
  <c r="AF95" i="4"/>
  <c r="AJ47" i="4"/>
  <c r="AJ48" i="4"/>
  <c r="AJ91" i="4"/>
  <c r="AJ70" i="4"/>
  <c r="AJ69" i="4"/>
  <c r="AJ68" i="4"/>
  <c r="AI47" i="4"/>
  <c r="AI48" i="4"/>
  <c r="AI91" i="4"/>
  <c r="AI70" i="4"/>
  <c r="AI69" i="4"/>
  <c r="AI68" i="4"/>
  <c r="AI92" i="4"/>
  <c r="AG96" i="4"/>
  <c r="AJ90" i="4"/>
  <c r="AJ92" i="4"/>
  <c r="AK34" i="4"/>
  <c r="AK40" i="4"/>
  <c r="AK43" i="4"/>
  <c r="AG104" i="4"/>
  <c r="AG115" i="4"/>
  <c r="AH115" i="4"/>
  <c r="AG95" i="4"/>
  <c r="AE107" i="4"/>
  <c r="AC108" i="4"/>
  <c r="AD104" i="4"/>
  <c r="AL17" i="4"/>
  <c r="AL20" i="4"/>
  <c r="AC97" i="4"/>
  <c r="AE97" i="4"/>
  <c r="AB122" i="4"/>
  <c r="AG123" i="4"/>
  <c r="AI74" i="4"/>
  <c r="AI85" i="4"/>
  <c r="AI94" i="4"/>
  <c r="AI96" i="4"/>
  <c r="AI123" i="4"/>
  <c r="AJ74" i="4"/>
  <c r="AJ85" i="4"/>
  <c r="AJ103" i="4"/>
  <c r="AI103" i="4"/>
  <c r="AI104" i="4"/>
  <c r="AJ102" i="4"/>
  <c r="AJ104" i="4"/>
  <c r="AH123" i="4"/>
  <c r="AK90" i="4"/>
  <c r="AK102" i="4"/>
  <c r="AK37" i="4"/>
  <c r="AL34" i="4"/>
  <c r="AL40" i="4"/>
  <c r="AL43" i="4"/>
  <c r="AI115" i="4"/>
  <c r="AQ107" i="4"/>
  <c r="AE108" i="4"/>
  <c r="AF107" i="4"/>
  <c r="AF108" i="4"/>
  <c r="AG107" i="4"/>
  <c r="AG108" i="4"/>
  <c r="AH107" i="4"/>
  <c r="AH108" i="4"/>
  <c r="AI107" i="4"/>
  <c r="AI108" i="4"/>
  <c r="AJ107" i="4"/>
  <c r="AM17" i="4"/>
  <c r="AM20" i="4"/>
  <c r="AF97" i="4"/>
  <c r="AE122" i="4"/>
  <c r="AJ94" i="4"/>
  <c r="AJ95" i="4"/>
  <c r="AI95" i="4"/>
  <c r="AK47" i="4"/>
  <c r="AK48" i="4"/>
  <c r="AK91" i="4"/>
  <c r="AK92" i="4"/>
  <c r="AK68" i="4"/>
  <c r="AK69" i="4"/>
  <c r="AK70" i="4"/>
  <c r="AJ96" i="4"/>
  <c r="AJ123" i="4"/>
  <c r="AL37" i="4"/>
  <c r="AM34" i="4"/>
  <c r="AM40" i="4"/>
  <c r="AM43" i="4"/>
  <c r="AL90" i="4"/>
  <c r="AL102" i="4"/>
  <c r="AJ108" i="4"/>
  <c r="AK107" i="4"/>
  <c r="AJ115" i="4"/>
  <c r="AN17" i="4"/>
  <c r="AN20" i="4"/>
  <c r="AG97" i="4"/>
  <c r="AF122" i="4"/>
  <c r="AM37" i="4"/>
  <c r="AM70" i="4"/>
  <c r="AK74" i="4"/>
  <c r="AK85" i="4"/>
  <c r="AK103" i="4"/>
  <c r="AK104" i="4"/>
  <c r="AK108" i="4"/>
  <c r="AL107" i="4"/>
  <c r="AL47" i="4"/>
  <c r="AL48" i="4"/>
  <c r="AL91" i="4"/>
  <c r="AL70" i="4"/>
  <c r="AL69" i="4"/>
  <c r="AL68" i="4"/>
  <c r="AM47" i="4"/>
  <c r="AM48" i="4"/>
  <c r="AM91" i="4"/>
  <c r="AM69" i="4"/>
  <c r="AL92" i="4"/>
  <c r="AM90" i="4"/>
  <c r="AM102" i="4"/>
  <c r="AN34" i="4"/>
  <c r="AN37" i="4"/>
  <c r="AO17" i="4"/>
  <c r="AO20" i="4"/>
  <c r="AG122" i="4"/>
  <c r="AH97" i="4"/>
  <c r="AM68" i="4"/>
  <c r="AM74" i="4"/>
  <c r="AM85" i="4"/>
  <c r="AM103" i="4"/>
  <c r="AM104" i="4"/>
  <c r="AK115" i="4"/>
  <c r="AK94" i="4"/>
  <c r="AL74" i="4"/>
  <c r="AL85" i="4"/>
  <c r="AL94" i="4"/>
  <c r="AL95" i="4"/>
  <c r="AN47" i="4"/>
  <c r="AN48" i="4"/>
  <c r="AN91" i="4"/>
  <c r="AN70" i="4"/>
  <c r="AN69" i="4"/>
  <c r="AN68" i="4"/>
  <c r="AM92" i="4"/>
  <c r="AN40" i="4"/>
  <c r="AN43" i="4"/>
  <c r="AO34" i="4"/>
  <c r="AO40" i="4"/>
  <c r="AO43" i="4"/>
  <c r="AP17" i="4"/>
  <c r="AP20" i="4"/>
  <c r="AP34" i="4"/>
  <c r="AI97" i="4"/>
  <c r="AH122" i="4"/>
  <c r="AK95" i="4"/>
  <c r="AK96" i="4"/>
  <c r="AK123" i="4"/>
  <c r="AL96" i="4"/>
  <c r="AM94" i="4"/>
  <c r="AM96" i="4"/>
  <c r="AL103" i="4"/>
  <c r="AL104" i="4"/>
  <c r="AN74" i="4"/>
  <c r="AN85" i="4"/>
  <c r="AO37" i="4"/>
  <c r="AM95" i="4"/>
  <c r="AO90" i="4"/>
  <c r="AO102" i="4"/>
  <c r="AN90" i="4"/>
  <c r="AQ34" i="4"/>
  <c r="AS34" i="4"/>
  <c r="AP40" i="4"/>
  <c r="AP37" i="4"/>
  <c r="AJ97" i="4"/>
  <c r="AI122" i="4"/>
  <c r="AL123" i="4"/>
  <c r="AM123" i="4"/>
  <c r="AL115" i="4"/>
  <c r="AM115" i="4"/>
  <c r="AL108" i="4"/>
  <c r="AM107" i="4"/>
  <c r="AM108" i="4"/>
  <c r="AN107" i="4"/>
  <c r="AO47" i="4"/>
  <c r="AO48" i="4"/>
  <c r="AO91" i="4"/>
  <c r="AO92" i="4"/>
  <c r="AO69" i="4"/>
  <c r="AO70" i="4"/>
  <c r="AO68" i="4"/>
  <c r="AP70" i="4"/>
  <c r="AP69" i="4"/>
  <c r="AP68" i="4"/>
  <c r="AN102" i="4"/>
  <c r="AN92" i="4"/>
  <c r="AN94" i="4"/>
  <c r="AN103" i="4"/>
  <c r="AQ37" i="4"/>
  <c r="AS37" i="4"/>
  <c r="AP47" i="4"/>
  <c r="AP43" i="4"/>
  <c r="AQ40" i="4"/>
  <c r="AK97" i="4"/>
  <c r="AJ122" i="4"/>
  <c r="AO74" i="4"/>
  <c r="AO85" i="4"/>
  <c r="AO94" i="4"/>
  <c r="AO96" i="4"/>
  <c r="AP74" i="4"/>
  <c r="AO95" i="4"/>
  <c r="AN96" i="4"/>
  <c r="AN123" i="4"/>
  <c r="AN95" i="4"/>
  <c r="AN104" i="4"/>
  <c r="AP90" i="4"/>
  <c r="AP48" i="4"/>
  <c r="AP91" i="4"/>
  <c r="AQ91" i="4"/>
  <c r="AQ47" i="4"/>
  <c r="AQ43" i="4"/>
  <c r="AR40" i="4"/>
  <c r="AR43" i="4"/>
  <c r="AS40" i="4"/>
  <c r="AS43" i="4"/>
  <c r="AL97" i="4"/>
  <c r="AK122" i="4"/>
  <c r="AO103" i="4"/>
  <c r="AO104" i="4"/>
  <c r="AO123" i="4"/>
  <c r="AN115" i="4"/>
  <c r="AO115" i="4"/>
  <c r="AN108" i="4"/>
  <c r="AO107" i="4"/>
  <c r="AQ48" i="4"/>
  <c r="AR47" i="4"/>
  <c r="AR48" i="4"/>
  <c r="AS47" i="4"/>
  <c r="AS48" i="4"/>
  <c r="AR91" i="4"/>
  <c r="AS91" i="4"/>
  <c r="AP102" i="4"/>
  <c r="AQ102" i="4"/>
  <c r="AP92" i="4"/>
  <c r="AQ90" i="4"/>
  <c r="AP85" i="4"/>
  <c r="AQ74" i="4"/>
  <c r="AL122" i="4"/>
  <c r="AM97" i="4"/>
  <c r="AO108" i="4"/>
  <c r="AP107" i="4"/>
  <c r="AR90" i="4"/>
  <c r="AS90" i="4"/>
  <c r="AQ92" i="4"/>
  <c r="AR102" i="4"/>
  <c r="AS102" i="4"/>
  <c r="AR74" i="4"/>
  <c r="AR85" i="4"/>
  <c r="AQ85" i="4"/>
  <c r="AS85" i="4"/>
  <c r="AS74" i="4"/>
  <c r="AP94" i="4"/>
  <c r="AP95" i="4"/>
  <c r="AQ95" i="4"/>
  <c r="AP103" i="4"/>
  <c r="AN97" i="4"/>
  <c r="AM122" i="4"/>
  <c r="AR95" i="4"/>
  <c r="AS95" i="4"/>
  <c r="AR92" i="4"/>
  <c r="AS92" i="4"/>
  <c r="AP104" i="4"/>
  <c r="AQ103" i="4"/>
  <c r="AP96" i="4"/>
  <c r="AQ94" i="4"/>
  <c r="AN122" i="4"/>
  <c r="AO97" i="4"/>
  <c r="AP123" i="4"/>
  <c r="AS123" i="4"/>
  <c r="B120" i="4"/>
  <c r="D62" i="6"/>
  <c r="AQ96" i="4"/>
  <c r="AR96" i="4"/>
  <c r="AR94" i="4"/>
  <c r="AS94" i="4"/>
  <c r="AR103" i="4"/>
  <c r="AS103" i="4"/>
  <c r="AQ104" i="4"/>
  <c r="AP115" i="4"/>
  <c r="B117" i="4"/>
  <c r="B118" i="4"/>
  <c r="AP108" i="4"/>
  <c r="AQ108" i="4"/>
  <c r="AS108" i="4"/>
  <c r="AP97" i="4"/>
  <c r="AO122" i="4"/>
  <c r="AR104" i="4"/>
  <c r="AS104" i="4"/>
  <c r="AQ97" i="4"/>
  <c r="AP122" i="4"/>
  <c r="AS122" i="4"/>
  <c r="B119" i="4"/>
  <c r="D2" i="4"/>
  <c r="D64" i="6"/>
</calcChain>
</file>

<file path=xl/sharedStrings.xml><?xml version="1.0" encoding="utf-8"?>
<sst xmlns="http://schemas.openxmlformats.org/spreadsheetml/2006/main" count="292" uniqueCount="176">
  <si>
    <t>Итого:</t>
  </si>
  <si>
    <t>Текущие затраты</t>
  </si>
  <si>
    <t>Аренда</t>
  </si>
  <si>
    <t>Коммунальные платежи</t>
  </si>
  <si>
    <t>Прочее</t>
  </si>
  <si>
    <t>Итого</t>
  </si>
  <si>
    <t>Окупаемость инвестиций</t>
  </si>
  <si>
    <t>мес.</t>
  </si>
  <si>
    <t>Изменения можно вносить только в ячейки, окрашенные в серый цвет</t>
  </si>
  <si>
    <t>ЗАГРУЗКА</t>
  </si>
  <si>
    <t>ТЕКУЩИЕ ЗАТРАТЫ</t>
  </si>
  <si>
    <t>ОТЧЕТ О ПРИБЫЛЯХ И УБЫТКАХ</t>
  </si>
  <si>
    <t>Выручка</t>
  </si>
  <si>
    <t>Валовая прибыль</t>
  </si>
  <si>
    <t>ДВИЖЕНИЕ ДЕНЕЖНЫХ СРЕДСТВ (КЭШ-ФЛО)</t>
  </si>
  <si>
    <t>Поступления от основной деятельности</t>
  </si>
  <si>
    <t>Кэш-фло от оперативной деятельности</t>
  </si>
  <si>
    <t>Кэш-фло от инвестиционной деятельности</t>
  </si>
  <si>
    <t>Кэш-фло от финансовой деятельности</t>
  </si>
  <si>
    <t>Баланс наличности на начало периода</t>
  </si>
  <si>
    <t>Баланс наличности на конец периода</t>
  </si>
  <si>
    <t>ОКУПАЕМОСТЬ ПРОЕКТА</t>
  </si>
  <si>
    <t>Коэффициент дисконтирования</t>
  </si>
  <si>
    <t>Индекс прибыльности проекта (PI)</t>
  </si>
  <si>
    <t>Паушальный взнос</t>
  </si>
  <si>
    <t>Рекламная кампания</t>
  </si>
  <si>
    <t>Охрана объекта</t>
  </si>
  <si>
    <t>Прочее (в т.ч. списания)</t>
  </si>
  <si>
    <t>Услуги связи</t>
  </si>
  <si>
    <t>Налоги, патенты, лицензии</t>
  </si>
  <si>
    <t>Месяц, с которого начинается работа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</si>
  <si>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</si>
  <si>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</si>
  <si>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</si>
  <si>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</si>
  <si>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</si>
  <si>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</si>
  <si>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</si>
  <si>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</si>
  <si>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</si>
  <si>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</si>
  <si>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</si>
  <si>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</si>
  <si>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1-й год работы</t>
  </si>
  <si>
    <t>2-й год работы</t>
  </si>
  <si>
    <t>Выход продаж на плановые показатели и дальнейший рост объемов продаж.</t>
  </si>
  <si>
    <r>
      <rPr>
        <b/>
        <sz val="8"/>
        <rFont val="Arial Cyr"/>
      </rPr>
      <t xml:space="preserve">Чистая прибыль </t>
    </r>
    <r>
      <rPr>
        <b/>
        <sz val="8"/>
        <color rgb="FFFF0000"/>
        <rFont val="Arial Cyr"/>
        <family val="2"/>
        <charset val="204"/>
      </rPr>
      <t xml:space="preserve">(убыток) </t>
    </r>
    <r>
      <rPr>
        <b/>
        <sz val="8"/>
        <rFont val="Arial Cyr"/>
      </rPr>
      <t>с учетом инвестиций</t>
    </r>
  </si>
  <si>
    <t>прибыль</t>
  </si>
  <si>
    <t>3-й год работы</t>
  </si>
  <si>
    <t>Итого за 1-й год</t>
  </si>
  <si>
    <t>Среднемесячно за 1-й год</t>
  </si>
  <si>
    <r>
      <rPr>
        <b/>
        <sz val="8"/>
        <rFont val="Arial Cyr"/>
      </rPr>
      <t xml:space="preserve">Чистая прибыль </t>
    </r>
    <r>
      <rPr>
        <b/>
        <sz val="8"/>
        <color rgb="FFFF0000"/>
        <rFont val="Arial Cyr"/>
        <family val="2"/>
        <charset val="204"/>
      </rPr>
      <t>(убыток)</t>
    </r>
    <r>
      <rPr>
        <b/>
        <sz val="8"/>
        <rFont val="Arial Cyr"/>
      </rPr>
      <t xml:space="preserve"> без учета инвестиций</t>
    </r>
  </si>
  <si>
    <t>Среднемесячно за 2-й год</t>
  </si>
  <si>
    <t>Итого за 2-й год</t>
  </si>
  <si>
    <t>Итого за 3-й год</t>
  </si>
  <si>
    <t>Среднемесячно за 3-й год</t>
  </si>
  <si>
    <t>Итого за три года</t>
  </si>
  <si>
    <t>Закупка и установка сигнализации</t>
  </si>
  <si>
    <t>Офисные расходы</t>
  </si>
  <si>
    <t>Местная реклама (буклеты, печатная продукция и т.д.)</t>
  </si>
  <si>
    <t>Срок окупаемости проекта, мес.:</t>
  </si>
  <si>
    <t>Персонал</t>
  </si>
  <si>
    <t>Местная реклама (печатная продукция, интернет и т.д.)</t>
  </si>
  <si>
    <t>%</t>
  </si>
  <si>
    <t>Количество, чел.</t>
  </si>
  <si>
    <t>Удельный вес в объеме выручки*</t>
  </si>
  <si>
    <t xml:space="preserve"> * - удельный вес в среднегодовой выручке за 1-й год работы.</t>
  </si>
  <si>
    <t>Среднемесячная чистая прибыль за 1-й год работы</t>
  </si>
  <si>
    <t>Среднемесячная чистая прибыль за 2-й год работы</t>
  </si>
  <si>
    <t>Зарплата персонала</t>
  </si>
  <si>
    <t>Среднемесячная сумма затрат за 1-й год работы</t>
  </si>
  <si>
    <t>самоокупаемость</t>
  </si>
  <si>
    <t>Срок выхода на самоокупаемость проекта, мес.:</t>
  </si>
  <si>
    <t>Выход на самоокупаемость с</t>
  </si>
  <si>
    <t>руб.</t>
  </si>
  <si>
    <t>руб./мес.</t>
  </si>
  <si>
    <t>Чистый денежный поток (NCF), руб.</t>
  </si>
  <si>
    <t>Чистая приведенная стоимость (NPV) на конец 3-го года, руб.</t>
  </si>
  <si>
    <t>Алтын Капитал</t>
  </si>
  <si>
    <t>Ломбард Алтын</t>
  </si>
  <si>
    <t>Алтын Капитал и Ломбард Алтын</t>
  </si>
  <si>
    <t>Форматы франшиз:</t>
  </si>
  <si>
    <t>Плановый объем выданных кредитов за месяц, руб./мес.</t>
  </si>
  <si>
    <t>Средний срок кредитования, дней</t>
  </si>
  <si>
    <t>Средняя % ставка за пользование деньгами, %/день</t>
  </si>
  <si>
    <t>Средняя % ставка за привлечение средств, %/день</t>
  </si>
  <si>
    <t>Средний размер пени, %/день</t>
  </si>
  <si>
    <t>Удельный вес кредитов, которые закрываются в установленный срок, %</t>
  </si>
  <si>
    <t>Удельный вес кредитов, которые закрываются в с пролонгацией, %</t>
  </si>
  <si>
    <t>Средний срок пролонгации, дней</t>
  </si>
  <si>
    <t>Параметры кредитов</t>
  </si>
  <si>
    <t>Параметры привлечения средств</t>
  </si>
  <si>
    <t>Параметры просрочки</t>
  </si>
  <si>
    <t>Параметры пролонгации</t>
  </si>
  <si>
    <t>Удельный вес кредитов, которые закрываются с просрочкой, %</t>
  </si>
  <si>
    <t>Средний срок просрочки, дней</t>
  </si>
  <si>
    <t>% от стоимости залога, который выдается в кредит</t>
  </si>
  <si>
    <t>Удельный вес кредитов в зависимости от вида залога</t>
  </si>
  <si>
    <t>Офисная мебель</t>
  </si>
  <si>
    <t>Компьютеры, офисная техника, программное обеспечение</t>
  </si>
  <si>
    <t>Директор</t>
  </si>
  <si>
    <t>Зарплата, руб./день</t>
  </si>
  <si>
    <t>Премия, % от выданных кредитов</t>
  </si>
  <si>
    <t>Роялти (с каждой точки франчайзи)</t>
  </si>
  <si>
    <t>Бухгалтерия (за все точки)</t>
  </si>
  <si>
    <t>1С (за все точки)</t>
  </si>
  <si>
    <t>Формат франшизы:</t>
  </si>
  <si>
    <t>Параметры залога</t>
  </si>
  <si>
    <t>Количество открываемых точек:</t>
  </si>
  <si>
    <t>Показатели в зависимости от формата для 1 точки</t>
  </si>
  <si>
    <t>Удельный вес кредитов, которые закрываются</t>
  </si>
  <si>
    <t>в установленный срок, %</t>
  </si>
  <si>
    <t>с просрочкой, %</t>
  </si>
  <si>
    <t>Золото</t>
  </si>
  <si>
    <t>Автомобили</t>
  </si>
  <si>
    <t>Недвижимость</t>
  </si>
  <si>
    <t>Иной залог</t>
  </si>
  <si>
    <t>Процент от стоимости залога, который выдается в кредит в зависимости от вида залога, %</t>
  </si>
  <si>
    <t>Удельный вес кредитов, которые выдаются в зависимости от вида залога, %</t>
  </si>
  <si>
    <t>Доход от реализованного залога</t>
  </si>
  <si>
    <t>Проценты по привлеченным средствам</t>
  </si>
  <si>
    <t>Просроченные кредиты</t>
  </si>
  <si>
    <t>Непогашенные кредиты, по которым проводится реализация залога</t>
  </si>
  <si>
    <t>Удельный вес кредитов, которые непогашаются и по которым реализуется залог, %</t>
  </si>
  <si>
    <t>Проверка суммы удельного веса кредитов, которые закрываются своевременно, с просрочкой, с пролонгацией и непогашенные кредиты</t>
  </si>
  <si>
    <t>Непогашенныее кредиты, по которым реализуется залог</t>
  </si>
  <si>
    <t>Итого кредитный портфель</t>
  </si>
  <si>
    <t>погашенные</t>
  </si>
  <si>
    <t>на начало</t>
  </si>
  <si>
    <t>выдано</t>
  </si>
  <si>
    <t>закончилось</t>
  </si>
  <si>
    <t>на конец</t>
  </si>
  <si>
    <t>сумма просрочки</t>
  </si>
  <si>
    <t>кредиты:</t>
  </si>
  <si>
    <t>пролонгации:</t>
  </si>
  <si>
    <t>новые</t>
  </si>
  <si>
    <t>сумма кредита, выдаваемого в месяц</t>
  </si>
  <si>
    <t>месяц начала погашения</t>
  </si>
  <si>
    <t>порядковый номер месяца</t>
  </si>
  <si>
    <t>ДИНАМИКА КРЕДИТНОГО ПОРТФЕЛЯ</t>
  </si>
  <si>
    <t>ДИНАМИКА ДОХОДОВ</t>
  </si>
  <si>
    <t>ДИНАМИКА РАСХОДОВ ПО ПРИВЛЕЧЕННЫМ СРЕДСТВАМ</t>
  </si>
  <si>
    <t>Проценты по текущему кредитному портфелю с учетом пролонгированных кредитов</t>
  </si>
  <si>
    <t>Текущий кредитный портфель с учетом пролонгированных кредитов</t>
  </si>
  <si>
    <t xml:space="preserve">Пеня по просроченным кредитам </t>
  </si>
  <si>
    <t>Плановый объем выданных кредитов за месяц всеми точками, руб./мес.</t>
  </si>
  <si>
    <t>Основные показатели деятельности</t>
  </si>
  <si>
    <t>Инвестиции в открытие 1 точки</t>
  </si>
  <si>
    <t>Инвестиции в открытие всех точек</t>
  </si>
  <si>
    <t>Текущие затраты для всех точек</t>
  </si>
  <si>
    <t>Текущие затраты для 1 точки</t>
  </si>
  <si>
    <t>Менеджер (информация для 1 точки)</t>
  </si>
  <si>
    <t>ИНВЕСТИЦИИ</t>
  </si>
  <si>
    <t>Среднемесячный размер доходов за 1-й год работы</t>
  </si>
  <si>
    <t>Среднемесячный размер расходов на привлечение средств за 1-й год работы</t>
  </si>
  <si>
    <t>Роялти от объема привлеченных (выданных) средств (с каждой точки франчайзи), но не менее указанной суммы</t>
  </si>
  <si>
    <t>Роялти от объема выданных средств (с каждой точки франчайзи)</t>
  </si>
  <si>
    <t>Роялти</t>
  </si>
  <si>
    <t>З/п</t>
  </si>
  <si>
    <t>ФОРМУЛЫ НЕ МЕНЯТЬ И НЕ УДАЛЯТЬ! ЭТО ПРОВЕРОЧНАЯ СТРОКА!</t>
  </si>
  <si>
    <t>Ломбард</t>
  </si>
  <si>
    <t>Стандарт</t>
  </si>
  <si>
    <t>Бизнес под ключ</t>
  </si>
  <si>
    <t>Охрана объекта (тревожная кнопка)</t>
  </si>
  <si>
    <t>Установка сигнализации (ВОХР)</t>
  </si>
  <si>
    <t>Брендирование помещения, вывеска</t>
  </si>
  <si>
    <r>
      <t xml:space="preserve">Процент от стоимости залога, который выдается в кредит под залог </t>
    </r>
    <r>
      <rPr>
        <b/>
        <u/>
        <sz val="16"/>
        <rFont val="Calibri"/>
        <scheme val="minor"/>
      </rPr>
      <t>золота,</t>
    </r>
    <r>
      <rPr>
        <b/>
        <sz val="16"/>
        <rFont val="Calibri"/>
        <scheme val="minor"/>
      </rPr>
      <t xml:space="preserve"> %</t>
    </r>
  </si>
  <si>
    <r>
      <t xml:space="preserve">Процент от стоимости залога, который выдается в кредит под залог </t>
    </r>
    <r>
      <rPr>
        <b/>
        <u/>
        <sz val="16"/>
        <rFont val="Calibri"/>
        <scheme val="minor"/>
      </rPr>
      <t>автомобиля,</t>
    </r>
    <r>
      <rPr>
        <b/>
        <sz val="16"/>
        <rFont val="Calibri"/>
        <scheme val="minor"/>
      </rPr>
      <t xml:space="preserve"> %</t>
    </r>
  </si>
  <si>
    <r>
      <t xml:space="preserve">Процент от стоимости залога, который выдается в кредит под залог </t>
    </r>
    <r>
      <rPr>
        <b/>
        <u/>
        <sz val="16"/>
        <rFont val="Calibri"/>
        <scheme val="minor"/>
      </rPr>
      <t>недвижимости,</t>
    </r>
    <r>
      <rPr>
        <b/>
        <sz val="16"/>
        <rFont val="Calibri"/>
        <scheme val="minor"/>
      </rPr>
      <t xml:space="preserve"> %</t>
    </r>
  </si>
  <si>
    <r>
      <t xml:space="preserve">Процент от стоимости залога, который выдается в кредит под </t>
    </r>
    <r>
      <rPr>
        <b/>
        <u/>
        <sz val="16"/>
        <rFont val="Calibri"/>
        <scheme val="minor"/>
      </rPr>
      <t>иной залог,</t>
    </r>
    <r>
      <rPr>
        <b/>
        <sz val="16"/>
        <rFont val="Calibri"/>
        <scheme val="minor"/>
      </rPr>
      <t xml:space="preserve"> %</t>
    </r>
  </si>
  <si>
    <r>
      <t xml:space="preserve">Удельный вес кредитов, которые выдаются под залог </t>
    </r>
    <r>
      <rPr>
        <b/>
        <u/>
        <sz val="16"/>
        <rFont val="Calibri"/>
        <scheme val="minor"/>
      </rPr>
      <t>золота</t>
    </r>
    <r>
      <rPr>
        <b/>
        <sz val="16"/>
        <rFont val="Calibri"/>
        <scheme val="minor"/>
      </rPr>
      <t>, %</t>
    </r>
  </si>
  <si>
    <r>
      <t xml:space="preserve">Удельный вес кредитов, которые выдаются под залог </t>
    </r>
    <r>
      <rPr>
        <b/>
        <u/>
        <sz val="16"/>
        <rFont val="Calibri"/>
        <scheme val="minor"/>
      </rPr>
      <t>автомобиля,</t>
    </r>
    <r>
      <rPr>
        <b/>
        <sz val="16"/>
        <rFont val="Calibri"/>
        <scheme val="minor"/>
      </rPr>
      <t xml:space="preserve"> %</t>
    </r>
  </si>
  <si>
    <r>
      <t xml:space="preserve">Удельный вес кредитов, которые выдаются под залог </t>
    </r>
    <r>
      <rPr>
        <b/>
        <u/>
        <sz val="16"/>
        <rFont val="Calibri"/>
        <scheme val="minor"/>
      </rPr>
      <t>недвижимости,</t>
    </r>
    <r>
      <rPr>
        <b/>
        <sz val="16"/>
        <rFont val="Calibri"/>
        <scheme val="minor"/>
      </rPr>
      <t xml:space="preserve"> %</t>
    </r>
  </si>
  <si>
    <r>
      <t xml:space="preserve">Удельный вес кредитов, которые выдаются под </t>
    </r>
    <r>
      <rPr>
        <b/>
        <u/>
        <sz val="16"/>
        <rFont val="Calibri"/>
        <scheme val="minor"/>
      </rPr>
      <t>иной залог,</t>
    </r>
    <r>
      <rPr>
        <b/>
        <sz val="16"/>
        <rFont val="Calibri"/>
        <scheme val="minor"/>
      </rPr>
      <t xml:space="preserve"> %</t>
    </r>
  </si>
  <si>
    <t xml:space="preserve">Финансовая модель франшизы "FINLINE" </t>
  </si>
  <si>
    <t xml:space="preserve">                                                                         Исходные данные для финансовой модели франшизы "FinLine-Автоломбард"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</si>
</sst>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р_._-;\-* #,##0.00_р_._-;_-* &quot;-&quot;??_р_._-;_-@_-"/>
    <numFmt numFmtId="165" formatCode="#,##0.0"/>
    <numFmt numFmtId="166" formatCode="#,##0.0000"/>
    <numFmt numFmtId="167" formatCode="0.0%"/>
    <numFmt numFmtId="168" formatCode="#,##0_ ;[Red]\-#,##0\ "/>
  </numFmts>
  <fonts count="6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8"/>
      <color theme="6" tint="-0.499984740745262"/>
      <name val="Calibri"/>
      <family val="2"/>
      <charset val="204"/>
      <scheme val="minor"/>
    </font>
    <font>
      <b/>
      <sz val="36"/>
      <color theme="6" tint="-0.499984740745262"/>
      <name val="Calibri"/>
      <family val="2"/>
      <charset val="204"/>
      <scheme val="minor"/>
    </font>
    <font>
      <b/>
      <sz val="20"/>
      <color theme="6" tint="-0.499984740745262"/>
      <name val="Calibri"/>
      <family val="2"/>
      <charset val="204"/>
      <scheme val="minor"/>
    </font>
    <font>
      <b/>
      <sz val="16"/>
      <color theme="6" tint="-0.499984740745262"/>
      <name val="Calibri"/>
      <family val="2"/>
      <charset val="204"/>
      <scheme val="minor"/>
    </font>
    <font>
      <b/>
      <sz val="14"/>
      <color theme="6" tint="-0.499984740745262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9"/>
      <name val="Arial Cyr"/>
      <family val="2"/>
      <charset val="204"/>
    </font>
    <font>
      <b/>
      <sz val="9"/>
      <name val="Arial"/>
      <family val="2"/>
      <charset val="204"/>
    </font>
    <font>
      <sz val="8"/>
      <name val="Arial Cyr"/>
      <family val="2"/>
      <charset val="204"/>
    </font>
    <font>
      <sz val="8"/>
      <color indexed="9"/>
      <name val="Arial Cyr"/>
      <family val="2"/>
      <charset val="204"/>
    </font>
    <font>
      <i/>
      <sz val="8"/>
      <color indexed="9"/>
      <name val="Arial Cyr"/>
      <family val="2"/>
      <charset val="204"/>
    </font>
    <font>
      <b/>
      <i/>
      <sz val="8"/>
      <color indexed="22"/>
      <name val="Arial Cyr"/>
      <family val="2"/>
      <charset val="204"/>
    </font>
    <font>
      <b/>
      <i/>
      <sz val="8"/>
      <name val="Arial Cyr"/>
      <family val="2"/>
      <charset val="204"/>
    </font>
    <font>
      <sz val="11"/>
      <color indexed="8"/>
      <name val="Calibri"/>
      <family val="2"/>
      <charset val="204"/>
    </font>
    <font>
      <b/>
      <sz val="8"/>
      <name val="Arial Cyr"/>
    </font>
    <font>
      <b/>
      <sz val="8"/>
      <name val="Arial Cyr"/>
      <family val="2"/>
      <charset val="204"/>
    </font>
    <font>
      <b/>
      <sz val="8"/>
      <color rgb="FFFF0000"/>
      <name val="Arial Cyr"/>
      <family val="2"/>
      <charset val="204"/>
    </font>
    <font>
      <sz val="11"/>
      <color indexed="8"/>
      <name val="Arial Cyr"/>
      <family val="2"/>
      <charset val="204"/>
    </font>
    <font>
      <sz val="8"/>
      <color indexed="8"/>
      <name val="Arial Cyr"/>
      <family val="2"/>
      <charset val="204"/>
    </font>
    <font>
      <b/>
      <sz val="9"/>
      <name val="Arial Cyr"/>
    </font>
    <font>
      <b/>
      <sz val="8"/>
      <color rgb="FFFF0000"/>
      <name val="Arial Cyr"/>
    </font>
    <font>
      <sz val="8"/>
      <name val="Arial Cyr"/>
    </font>
    <font>
      <b/>
      <sz val="46"/>
      <color theme="6" tint="-0.499984740745262"/>
      <name val="Calibri"/>
      <family val="2"/>
      <charset val="204"/>
      <scheme val="minor"/>
    </font>
    <font>
      <sz val="11"/>
      <color theme="4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4"/>
      <color theme="6" tint="-0.499984740745262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0"/>
      <color rgb="FF0070C0"/>
      <name val="Arial Cyr"/>
      <family val="2"/>
      <charset val="204"/>
    </font>
    <font>
      <b/>
      <sz val="10"/>
      <name val="Arial Cyr"/>
    </font>
    <font>
      <sz val="11"/>
      <color rgb="FF0070C0"/>
      <name val="Calibri"/>
      <family val="2"/>
      <charset val="204"/>
      <scheme val="minor"/>
    </font>
    <font>
      <b/>
      <sz val="10"/>
      <name val="Arial Cyr"/>
      <family val="2"/>
      <charset val="204"/>
    </font>
    <font>
      <b/>
      <sz val="10"/>
      <color rgb="FF0070C0"/>
      <name val="Arial Cyr"/>
      <family val="2"/>
      <charset val="204"/>
    </font>
    <font>
      <b/>
      <sz val="8"/>
      <color indexed="9"/>
      <name val="Arial Cyr"/>
      <family val="2"/>
      <charset val="204"/>
    </font>
    <font>
      <b/>
      <sz val="11"/>
      <color indexed="8"/>
      <name val="Arial Cyr"/>
      <family val="2"/>
      <charset val="204"/>
    </font>
    <font>
      <sz val="8"/>
      <color theme="3"/>
      <name val="Arial Cyr"/>
      <family val="2"/>
      <charset val="204"/>
    </font>
    <font>
      <b/>
      <sz val="8"/>
      <color theme="3"/>
      <name val="Arial Cyr"/>
      <family val="2"/>
      <charset val="204"/>
    </font>
    <font>
      <sz val="14"/>
      <color theme="1"/>
      <name val="Calibri"/>
      <family val="2"/>
      <charset val="204"/>
      <scheme val="minor"/>
    </font>
    <font>
      <b/>
      <i/>
      <sz val="8"/>
      <color rgb="FF0070C0"/>
      <name val="Arial Cyr"/>
      <family val="2"/>
      <charset val="204"/>
    </font>
    <font>
      <sz val="8"/>
      <color rgb="FF0070C0"/>
      <name val="Arial Cyr"/>
      <family val="2"/>
      <charset val="204"/>
    </font>
    <font>
      <b/>
      <sz val="8"/>
      <color rgb="FF0070C0"/>
      <name val="Arial Cyr"/>
      <family val="2"/>
      <charset val="204"/>
    </font>
    <font>
      <b/>
      <sz val="2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1"/>
      <name val="Calibri"/>
      <scheme val="minor"/>
    </font>
    <font>
      <b/>
      <sz val="16"/>
      <name val="Calibri"/>
      <scheme val="minor"/>
    </font>
    <font>
      <sz val="14"/>
      <name val="Calibri"/>
      <scheme val="minor"/>
    </font>
    <font>
      <b/>
      <u/>
      <sz val="16"/>
      <name val="Calibri"/>
      <scheme val="minor"/>
    </font>
    <font>
      <b/>
      <sz val="26"/>
      <name val="Calibri"/>
      <scheme val="minor"/>
    </font>
    <font>
      <b/>
      <sz val="28"/>
      <name val="Calibri"/>
      <scheme val="minor"/>
    </font>
    <font>
      <b/>
      <sz val="11"/>
      <name val="Calibri"/>
      <scheme val="minor"/>
    </font>
    <font>
      <b/>
      <sz val="36"/>
      <name val="Calibri"/>
      <scheme val="minor"/>
    </font>
    <font>
      <sz val="16"/>
      <name val="Calibri"/>
      <scheme val="minor"/>
    </font>
    <font>
      <sz val="20"/>
      <name val="Calibri"/>
      <scheme val="minor"/>
    </font>
    <font>
      <b/>
      <sz val="24"/>
      <name val="Calibri"/>
      <scheme val="minor"/>
    </font>
    <font>
      <b/>
      <sz val="48"/>
      <name val="Calibri"/>
      <scheme val="minor"/>
    </font>
    <font>
      <sz val="18"/>
      <name val="Calibri"/>
      <scheme val="minor"/>
    </font>
    <font>
      <b/>
      <sz val="20"/>
      <name val="Calibri (Основной текст)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thin">
        <color auto="1"/>
      </right>
      <top style="medium">
        <color rgb="FFFF0000"/>
      </top>
      <bottom/>
      <diagonal/>
    </border>
    <border>
      <left style="thin">
        <color auto="1"/>
      </left>
      <right style="thin">
        <color auto="1"/>
      </right>
      <top style="medium">
        <color rgb="FFFF0000"/>
      </top>
      <bottom style="thin">
        <color auto="1"/>
      </bottom>
      <diagonal/>
    </border>
    <border>
      <left style="thin">
        <color auto="1"/>
      </left>
      <right/>
      <top style="medium">
        <color rgb="FFFF0000"/>
      </top>
      <bottom style="thin">
        <color auto="1"/>
      </bottom>
      <diagonal/>
    </border>
    <border>
      <left/>
      <right/>
      <top style="medium">
        <color rgb="FFFF0000"/>
      </top>
      <bottom style="thin">
        <color auto="1"/>
      </bottom>
      <diagonal/>
    </border>
    <border>
      <left/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</cellStyleXfs>
  <cellXfs count="380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9" fontId="10" fillId="0" borderId="0" xfId="2" applyFont="1" applyBorder="1" applyAlignment="1">
      <alignment horizontal="left" vertical="center" indent="1"/>
    </xf>
    <xf numFmtId="0" fontId="0" fillId="0" borderId="0" xfId="0" applyAlignment="1">
      <alignment horizontal="left" indent="1"/>
    </xf>
    <xf numFmtId="0" fontId="0" fillId="0" borderId="5" xfId="0" applyBorder="1"/>
    <xf numFmtId="0" fontId="0" fillId="0" borderId="5" xfId="0" applyBorder="1" applyAlignment="1">
      <alignment horizontal="left" indent="1"/>
    </xf>
    <xf numFmtId="0" fontId="12" fillId="3" borderId="0" xfId="3" applyFont="1" applyFill="1" applyBorder="1" applyAlignment="1">
      <alignment vertical="center"/>
    </xf>
    <xf numFmtId="0" fontId="12" fillId="3" borderId="0" xfId="3" applyFont="1" applyFill="1" applyBorder="1" applyAlignment="1">
      <alignment vertical="center" wrapText="1"/>
    </xf>
    <xf numFmtId="0" fontId="13" fillId="3" borderId="0" xfId="3" applyFont="1" applyFill="1" applyBorder="1" applyAlignment="1">
      <alignment vertical="center" wrapText="1"/>
    </xf>
    <xf numFmtId="0" fontId="11" fillId="3" borderId="0" xfId="3" applyFont="1" applyFill="1"/>
    <xf numFmtId="0" fontId="11" fillId="0" borderId="0" xfId="3" applyFont="1"/>
    <xf numFmtId="0" fontId="14" fillId="0" borderId="0" xfId="3" applyFont="1"/>
    <xf numFmtId="0" fontId="15" fillId="4" borderId="6" xfId="3" applyFont="1" applyFill="1" applyBorder="1" applyAlignment="1">
      <alignment vertical="center"/>
    </xf>
    <xf numFmtId="0" fontId="15" fillId="4" borderId="6" xfId="3" applyFont="1" applyFill="1" applyBorder="1" applyAlignment="1">
      <alignment horizontal="center" vertical="center"/>
    </xf>
    <xf numFmtId="165" fontId="16" fillId="4" borderId="6" xfId="3" applyNumberFormat="1" applyFont="1" applyFill="1" applyBorder="1" applyAlignment="1">
      <alignment horizontal="center" vertical="center"/>
    </xf>
    <xf numFmtId="0" fontId="11" fillId="0" borderId="0" xfId="3" applyFont="1" applyBorder="1" applyAlignment="1">
      <alignment horizontal="left" vertical="center" wrapText="1"/>
    </xf>
    <xf numFmtId="0" fontId="14" fillId="0" borderId="0" xfId="3" applyFont="1" applyBorder="1" applyAlignment="1">
      <alignment horizontal="left" vertical="center" wrapText="1"/>
    </xf>
    <xf numFmtId="0" fontId="14" fillId="0" borderId="8" xfId="0" applyFont="1" applyBorder="1" applyAlignment="1">
      <alignment vertical="center"/>
    </xf>
    <xf numFmtId="0" fontId="14" fillId="0" borderId="8" xfId="0" applyFont="1" applyBorder="1" applyAlignment="1">
      <alignment horizontal="center" vertical="center"/>
    </xf>
    <xf numFmtId="0" fontId="14" fillId="0" borderId="8" xfId="0" applyFont="1" applyBorder="1"/>
    <xf numFmtId="0" fontId="14" fillId="0" borderId="8" xfId="3" applyFont="1" applyBorder="1"/>
    <xf numFmtId="0" fontId="15" fillId="4" borderId="6" xfId="0" applyFont="1" applyFill="1" applyBorder="1" applyAlignment="1">
      <alignment vertical="center"/>
    </xf>
    <xf numFmtId="0" fontId="15" fillId="4" borderId="6" xfId="0" applyFont="1" applyFill="1" applyBorder="1" applyAlignment="1">
      <alignment horizontal="center" vertical="center"/>
    </xf>
    <xf numFmtId="0" fontId="14" fillId="0" borderId="0" xfId="0" applyFont="1"/>
    <xf numFmtId="0" fontId="17" fillId="0" borderId="7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4" fillId="5" borderId="0" xfId="0" applyFont="1" applyFill="1" applyBorder="1" applyAlignment="1">
      <alignment horizontal="left" vertical="center"/>
    </xf>
    <xf numFmtId="0" fontId="14" fillId="5" borderId="0" xfId="0" applyFont="1" applyFill="1" applyBorder="1" applyAlignment="1">
      <alignment horizontal="center" vertical="center"/>
    </xf>
    <xf numFmtId="4" fontId="18" fillId="0" borderId="0" xfId="0" applyNumberFormat="1" applyFont="1" applyFill="1" applyBorder="1" applyAlignment="1">
      <alignment vertical="center"/>
    </xf>
    <xf numFmtId="9" fontId="14" fillId="0" borderId="0" xfId="4" applyFont="1"/>
    <xf numFmtId="0" fontId="14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 vertical="center"/>
    </xf>
    <xf numFmtId="4" fontId="14" fillId="0" borderId="0" xfId="0" applyNumberFormat="1" applyFont="1" applyFill="1" applyBorder="1" applyAlignment="1">
      <alignment vertical="center"/>
    </xf>
    <xf numFmtId="9" fontId="14" fillId="0" borderId="0" xfId="4" applyFont="1" applyFill="1"/>
    <xf numFmtId="0" fontId="14" fillId="0" borderId="0" xfId="0" applyFont="1" applyFill="1"/>
    <xf numFmtId="0" fontId="20" fillId="0" borderId="9" xfId="0" applyFont="1" applyFill="1" applyBorder="1" applyAlignment="1">
      <alignment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3" fontId="14" fillId="5" borderId="0" xfId="0" applyNumberFormat="1" applyFont="1" applyFill="1" applyBorder="1" applyAlignment="1">
      <alignment vertical="center"/>
    </xf>
    <xf numFmtId="3" fontId="14" fillId="0" borderId="0" xfId="4" applyNumberFormat="1" applyFont="1"/>
    <xf numFmtId="3" fontId="14" fillId="0" borderId="0" xfId="0" applyNumberFormat="1" applyFont="1"/>
    <xf numFmtId="3" fontId="14" fillId="0" borderId="0" xfId="0" applyNumberFormat="1" applyFont="1" applyFill="1" applyBorder="1" applyAlignment="1">
      <alignment vertical="center"/>
    </xf>
    <xf numFmtId="3" fontId="14" fillId="0" borderId="0" xfId="4" applyNumberFormat="1" applyFont="1" applyFill="1"/>
    <xf numFmtId="3" fontId="14" fillId="0" borderId="0" xfId="0" applyNumberFormat="1" applyFont="1" applyFill="1"/>
    <xf numFmtId="0" fontId="20" fillId="0" borderId="0" xfId="0" applyFont="1" applyFill="1" applyBorder="1" applyAlignment="1">
      <alignment vertical="center"/>
    </xf>
    <xf numFmtId="0" fontId="17" fillId="0" borderId="0" xfId="3" applyFont="1" applyFill="1" applyBorder="1" applyAlignment="1">
      <alignment vertical="center"/>
    </xf>
    <xf numFmtId="0" fontId="14" fillId="0" borderId="0" xfId="3" applyFont="1" applyBorder="1" applyAlignment="1">
      <alignment horizontal="center" vertical="center"/>
    </xf>
    <xf numFmtId="0" fontId="14" fillId="0" borderId="0" xfId="3" applyFont="1" applyBorder="1" applyAlignment="1">
      <alignment vertical="center"/>
    </xf>
    <xf numFmtId="4" fontId="14" fillId="0" borderId="0" xfId="3" applyNumberFormat="1" applyFont="1" applyFill="1" applyBorder="1" applyAlignment="1">
      <alignment vertical="center"/>
    </xf>
    <xf numFmtId="4" fontId="18" fillId="0" borderId="0" xfId="3" applyNumberFormat="1" applyFont="1" applyFill="1" applyBorder="1" applyAlignment="1">
      <alignment vertical="center"/>
    </xf>
    <xf numFmtId="0" fontId="14" fillId="0" borderId="5" xfId="3" applyFont="1" applyBorder="1" applyAlignment="1">
      <alignment vertical="center"/>
    </xf>
    <xf numFmtId="0" fontId="14" fillId="0" borderId="5" xfId="3" applyFont="1" applyBorder="1" applyAlignment="1">
      <alignment horizontal="center" vertical="center"/>
    </xf>
    <xf numFmtId="0" fontId="14" fillId="0" borderId="5" xfId="3" applyFont="1" applyFill="1" applyBorder="1" applyAlignment="1">
      <alignment vertical="center"/>
    </xf>
    <xf numFmtId="0" fontId="14" fillId="0" borderId="0" xfId="3" applyFont="1" applyFill="1" applyBorder="1" applyAlignment="1">
      <alignment vertical="center"/>
    </xf>
    <xf numFmtId="0" fontId="14" fillId="0" borderId="7" xfId="0" applyFont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0" fontId="14" fillId="0" borderId="5" xfId="0" applyFont="1" applyBorder="1" applyAlignment="1">
      <alignment vertical="center"/>
    </xf>
    <xf numFmtId="0" fontId="14" fillId="0" borderId="5" xfId="0" applyFont="1" applyBorder="1" applyAlignment="1">
      <alignment horizontal="center" vertical="center"/>
    </xf>
    <xf numFmtId="4" fontId="14" fillId="0" borderId="5" xfId="0" applyNumberFormat="1" applyFont="1" applyFill="1" applyBorder="1" applyAlignment="1">
      <alignment vertical="center"/>
    </xf>
    <xf numFmtId="3" fontId="14" fillId="0" borderId="0" xfId="0" applyNumberFormat="1" applyFont="1" applyFill="1" applyBorder="1" applyAlignment="1">
      <alignment horizontal="left" vertical="center"/>
    </xf>
    <xf numFmtId="0" fontId="14" fillId="0" borderId="5" xfId="0" applyFont="1" applyFill="1" applyBorder="1" applyAlignment="1">
      <alignment vertical="center"/>
    </xf>
    <xf numFmtId="0" fontId="23" fillId="0" borderId="0" xfId="0" applyFont="1" applyBorder="1" applyAlignment="1">
      <alignment horizontal="left" vertical="center" wrapText="1"/>
    </xf>
    <xf numFmtId="0" fontId="24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vertical="center"/>
    </xf>
    <xf numFmtId="10" fontId="18" fillId="0" borderId="0" xfId="0" applyNumberFormat="1" applyFont="1" applyBorder="1" applyAlignment="1">
      <alignment vertical="center"/>
    </xf>
    <xf numFmtId="166" fontId="14" fillId="0" borderId="0" xfId="0" applyNumberFormat="1" applyFont="1" applyFill="1" applyBorder="1" applyAlignment="1">
      <alignment horizontal="left" vertical="center"/>
    </xf>
    <xf numFmtId="166" fontId="14" fillId="0" borderId="0" xfId="0" applyNumberFormat="1" applyFont="1"/>
    <xf numFmtId="166" fontId="14" fillId="0" borderId="0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4" fontId="14" fillId="0" borderId="0" xfId="0" applyNumberFormat="1" applyFont="1" applyFill="1"/>
    <xf numFmtId="3" fontId="21" fillId="0" borderId="0" xfId="0" applyNumberFormat="1" applyFont="1" applyFill="1" applyBorder="1" applyAlignment="1">
      <alignment vertical="center"/>
    </xf>
    <xf numFmtId="4" fontId="14" fillId="0" borderId="0" xfId="0" applyNumberFormat="1" applyFont="1" applyFill="1" applyBorder="1" applyAlignment="1">
      <alignment horizontal="center" vertical="center"/>
    </xf>
    <xf numFmtId="4" fontId="21" fillId="0" borderId="1" xfId="0" applyNumberFormat="1" applyFont="1" applyFill="1" applyBorder="1" applyAlignment="1">
      <alignment vertical="center"/>
    </xf>
    <xf numFmtId="0" fontId="21" fillId="0" borderId="0" xfId="0" applyFont="1"/>
    <xf numFmtId="4" fontId="20" fillId="0" borderId="0" xfId="0" applyNumberFormat="1" applyFont="1"/>
    <xf numFmtId="0" fontId="24" fillId="0" borderId="0" xfId="0" applyFont="1"/>
    <xf numFmtId="0" fontId="23" fillId="0" borderId="0" xfId="0" applyFont="1"/>
    <xf numFmtId="0" fontId="25" fillId="3" borderId="0" xfId="3" applyFont="1" applyFill="1" applyBorder="1" applyAlignment="1">
      <alignment horizontal="left" vertical="center"/>
    </xf>
    <xf numFmtId="9" fontId="14" fillId="5" borderId="0" xfId="0" applyNumberFormat="1" applyFont="1" applyFill="1" applyBorder="1" applyAlignment="1">
      <alignment horizontal="left" vertical="center"/>
    </xf>
    <xf numFmtId="9" fontId="14" fillId="0" borderId="0" xfId="0" applyNumberFormat="1" applyFont="1" applyFill="1" applyBorder="1" applyAlignment="1">
      <alignment horizontal="left" vertical="center"/>
    </xf>
    <xf numFmtId="0" fontId="21" fillId="6" borderId="0" xfId="3" applyFont="1" applyFill="1" applyBorder="1" applyAlignment="1">
      <alignment horizontal="left" vertical="center"/>
    </xf>
    <xf numFmtId="0" fontId="14" fillId="6" borderId="0" xfId="3" applyFont="1" applyFill="1" applyBorder="1" applyAlignment="1">
      <alignment horizontal="center" vertical="center"/>
    </xf>
    <xf numFmtId="4" fontId="21" fillId="6" borderId="0" xfId="3" applyNumberFormat="1" applyFont="1" applyFill="1" applyBorder="1" applyAlignment="1">
      <alignment vertical="center"/>
    </xf>
    <xf numFmtId="4" fontId="18" fillId="6" borderId="0" xfId="0" applyNumberFormat="1" applyFont="1" applyFill="1" applyBorder="1" applyAlignment="1">
      <alignment vertical="center"/>
    </xf>
    <xf numFmtId="0" fontId="14" fillId="6" borderId="0" xfId="3" applyFont="1" applyFill="1"/>
    <xf numFmtId="0" fontId="26" fillId="0" borderId="0" xfId="0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14" fillId="6" borderId="0" xfId="0" applyFont="1" applyFill="1" applyBorder="1" applyAlignment="1">
      <alignment horizontal="center" vertical="center"/>
    </xf>
    <xf numFmtId="0" fontId="14" fillId="6" borderId="0" xfId="0" applyFont="1" applyFill="1"/>
    <xf numFmtId="3" fontId="14" fillId="6" borderId="0" xfId="0" applyNumberFormat="1" applyFont="1" applyFill="1" applyBorder="1" applyAlignment="1">
      <alignment horizontal="left" vertical="center"/>
    </xf>
    <xf numFmtId="3" fontId="14" fillId="6" borderId="0" xfId="0" applyNumberFormat="1" applyFont="1" applyFill="1"/>
    <xf numFmtId="0" fontId="2" fillId="0" borderId="0" xfId="0" applyFont="1" applyAlignment="1">
      <alignment horizontal="center" vertical="center"/>
    </xf>
    <xf numFmtId="0" fontId="11" fillId="0" borderId="0" xfId="3" applyFont="1" applyBorder="1" applyAlignment="1">
      <alignment horizontal="left" vertical="center" wrapText="1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10" fontId="29" fillId="0" borderId="0" xfId="2" applyNumberFormat="1" applyFont="1"/>
    <xf numFmtId="0" fontId="29" fillId="0" borderId="0" xfId="0" applyFont="1" applyAlignment="1">
      <alignment wrapText="1"/>
    </xf>
    <xf numFmtId="10" fontId="29" fillId="0" borderId="0" xfId="0" applyNumberFormat="1" applyFont="1"/>
    <xf numFmtId="0" fontId="29" fillId="6" borderId="0" xfId="0" applyFont="1" applyFill="1" applyProtection="1">
      <protection locked="0"/>
    </xf>
    <xf numFmtId="0" fontId="32" fillId="0" borderId="0" xfId="0" applyFont="1" applyAlignment="1">
      <alignment vertical="center"/>
    </xf>
    <xf numFmtId="9" fontId="10" fillId="6" borderId="0" xfId="2" applyFont="1" applyFill="1" applyBorder="1" applyAlignment="1">
      <alignment horizontal="left" vertical="center" indent="1"/>
    </xf>
    <xf numFmtId="0" fontId="2" fillId="6" borderId="0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" fillId="6" borderId="0" xfId="0" applyFont="1" applyFill="1" applyAlignment="1"/>
    <xf numFmtId="0" fontId="2" fillId="6" borderId="0" xfId="0" applyFont="1" applyFill="1" applyBorder="1" applyAlignment="1"/>
    <xf numFmtId="0" fontId="29" fillId="0" borderId="0" xfId="0" applyFont="1"/>
    <xf numFmtId="9" fontId="0" fillId="0" borderId="0" xfId="0" applyNumberFormat="1"/>
    <xf numFmtId="0" fontId="0" fillId="6" borderId="0" xfId="0" applyFill="1" applyBorder="1"/>
    <xf numFmtId="0" fontId="33" fillId="0" borderId="0" xfId="0" applyFont="1"/>
    <xf numFmtId="3" fontId="9" fillId="6" borderId="0" xfId="1" applyNumberFormat="1" applyFont="1" applyFill="1" applyBorder="1" applyAlignment="1">
      <alignment vertical="center"/>
    </xf>
    <xf numFmtId="0" fontId="7" fillId="6" borderId="0" xfId="0" applyFont="1" applyFill="1" applyBorder="1" applyAlignment="1">
      <alignment vertical="center"/>
    </xf>
    <xf numFmtId="0" fontId="9" fillId="6" borderId="0" xfId="0" applyFont="1" applyFill="1" applyBorder="1" applyAlignment="1">
      <alignment vertical="center"/>
    </xf>
    <xf numFmtId="0" fontId="5" fillId="6" borderId="0" xfId="0" applyFont="1" applyFill="1" applyBorder="1" applyAlignment="1">
      <alignment vertical="center"/>
    </xf>
    <xf numFmtId="0" fontId="0" fillId="0" borderId="0" xfId="0" applyAlignment="1"/>
    <xf numFmtId="9" fontId="9" fillId="6" borderId="0" xfId="2" applyFont="1" applyFill="1" applyBorder="1" applyAlignment="1">
      <alignment vertical="center"/>
    </xf>
    <xf numFmtId="9" fontId="14" fillId="2" borderId="0" xfId="3" applyNumberFormat="1" applyFont="1" applyFill="1" applyBorder="1" applyAlignment="1">
      <alignment horizontal="center" vertical="center"/>
    </xf>
    <xf numFmtId="9" fontId="14" fillId="6" borderId="0" xfId="3" applyNumberFormat="1" applyFont="1" applyFill="1" applyBorder="1" applyAlignment="1">
      <alignment horizontal="center" vertical="center"/>
    </xf>
    <xf numFmtId="0" fontId="14" fillId="6" borderId="0" xfId="3" applyFont="1" applyFill="1" applyBorder="1" applyAlignment="1">
      <alignment horizontal="left" vertical="center"/>
    </xf>
    <xf numFmtId="0" fontId="35" fillId="0" borderId="0" xfId="3" applyFont="1"/>
    <xf numFmtId="0" fontId="14" fillId="6" borderId="0" xfId="3" applyFont="1" applyFill="1" applyBorder="1"/>
    <xf numFmtId="0" fontId="11" fillId="6" borderId="0" xfId="3" applyFont="1" applyFill="1" applyBorder="1"/>
    <xf numFmtId="0" fontId="15" fillId="4" borderId="11" xfId="0" applyFont="1" applyFill="1" applyBorder="1" applyAlignment="1">
      <alignment horizontal="center" vertical="center"/>
    </xf>
    <xf numFmtId="0" fontId="15" fillId="4" borderId="11" xfId="3" applyFont="1" applyFill="1" applyBorder="1" applyAlignment="1">
      <alignment horizontal="center" vertical="center"/>
    </xf>
    <xf numFmtId="0" fontId="37" fillId="0" borderId="0" xfId="0" applyFont="1"/>
    <xf numFmtId="0" fontId="37" fillId="0" borderId="0" xfId="0" applyFont="1" applyAlignment="1">
      <alignment vertical="center"/>
    </xf>
    <xf numFmtId="3" fontId="20" fillId="0" borderId="9" xfId="0" applyNumberFormat="1" applyFont="1" applyFill="1" applyBorder="1" applyAlignment="1">
      <alignment vertical="center"/>
    </xf>
    <xf numFmtId="3" fontId="0" fillId="0" borderId="0" xfId="0" applyNumberFormat="1"/>
    <xf numFmtId="0" fontId="21" fillId="0" borderId="0" xfId="0" applyFont="1" applyFill="1" applyBorder="1" applyAlignment="1">
      <alignment horizontal="right"/>
    </xf>
    <xf numFmtId="0" fontId="21" fillId="0" borderId="0" xfId="0" applyFont="1" applyAlignment="1">
      <alignment horizontal="right"/>
    </xf>
    <xf numFmtId="1" fontId="21" fillId="0" borderId="1" xfId="0" applyNumberFormat="1" applyFont="1" applyFill="1" applyBorder="1"/>
    <xf numFmtId="0" fontId="15" fillId="4" borderId="6" xfId="0" applyFont="1" applyFill="1" applyBorder="1" applyAlignment="1">
      <alignment horizontal="center" vertical="center" wrapText="1"/>
    </xf>
    <xf numFmtId="0" fontId="2" fillId="0" borderId="0" xfId="0" applyFont="1"/>
    <xf numFmtId="0" fontId="38" fillId="3" borderId="0" xfId="3" applyFont="1" applyFill="1"/>
    <xf numFmtId="0" fontId="38" fillId="0" borderId="0" xfId="3" applyFont="1"/>
    <xf numFmtId="9" fontId="21" fillId="2" borderId="0" xfId="3" applyNumberFormat="1" applyFont="1" applyFill="1" applyBorder="1" applyAlignment="1">
      <alignment horizontal="center" vertical="center"/>
    </xf>
    <xf numFmtId="0" fontId="39" fillId="0" borderId="0" xfId="3" applyFont="1"/>
    <xf numFmtId="0" fontId="38" fillId="6" borderId="0" xfId="3" applyFont="1" applyFill="1" applyBorder="1"/>
    <xf numFmtId="0" fontId="40" fillId="4" borderId="11" xfId="3" applyFont="1" applyFill="1" applyBorder="1" applyAlignment="1">
      <alignment horizontal="center" vertical="center" wrapText="1"/>
    </xf>
    <xf numFmtId="0" fontId="21" fillId="0" borderId="8" xfId="0" applyFont="1" applyBorder="1"/>
    <xf numFmtId="0" fontId="21" fillId="0" borderId="0" xfId="3" applyFont="1"/>
    <xf numFmtId="0" fontId="40" fillId="4" borderId="11" xfId="0" applyFont="1" applyFill="1" applyBorder="1" applyAlignment="1">
      <alignment horizontal="center" vertical="center" wrapText="1"/>
    </xf>
    <xf numFmtId="3" fontId="21" fillId="5" borderId="0" xfId="0" applyNumberFormat="1" applyFont="1" applyFill="1" applyBorder="1" applyAlignment="1">
      <alignment vertical="center"/>
    </xf>
    <xf numFmtId="0" fontId="40" fillId="4" borderId="6" xfId="0" applyFont="1" applyFill="1" applyBorder="1" applyAlignment="1">
      <alignment horizontal="center" vertical="center" wrapText="1"/>
    </xf>
    <xf numFmtId="4" fontId="21" fillId="0" borderId="0" xfId="0" applyNumberFormat="1" applyFont="1" applyFill="1" applyBorder="1" applyAlignment="1">
      <alignment vertical="center"/>
    </xf>
    <xf numFmtId="0" fontId="21" fillId="0" borderId="0" xfId="3" applyFont="1" applyBorder="1" applyAlignment="1">
      <alignment vertical="center"/>
    </xf>
    <xf numFmtId="0" fontId="21" fillId="0" borderId="5" xfId="3" applyFont="1" applyFill="1" applyBorder="1" applyAlignment="1">
      <alignment vertical="center"/>
    </xf>
    <xf numFmtId="4" fontId="21" fillId="0" borderId="5" xfId="0" applyNumberFormat="1" applyFont="1" applyFill="1" applyBorder="1" applyAlignment="1">
      <alignment vertical="center"/>
    </xf>
    <xf numFmtId="0" fontId="21" fillId="0" borderId="5" xfId="0" applyFont="1" applyBorder="1" applyAlignment="1">
      <alignment vertical="center"/>
    </xf>
    <xf numFmtId="0" fontId="40" fillId="4" borderId="6" xfId="0" applyFont="1" applyFill="1" applyBorder="1" applyAlignment="1">
      <alignment horizontal="center" vertical="center"/>
    </xf>
    <xf numFmtId="166" fontId="21" fillId="0" borderId="0" xfId="0" applyNumberFormat="1" applyFont="1" applyFill="1" applyBorder="1" applyAlignment="1">
      <alignment vertical="center"/>
    </xf>
    <xf numFmtId="0" fontId="41" fillId="0" borderId="0" xfId="0" applyFont="1"/>
    <xf numFmtId="3" fontId="18" fillId="6" borderId="0" xfId="0" applyNumberFormat="1" applyFont="1" applyFill="1" applyBorder="1" applyAlignment="1">
      <alignment vertical="center"/>
    </xf>
    <xf numFmtId="3" fontId="20" fillId="6" borderId="9" xfId="0" applyNumberFormat="1" applyFont="1" applyFill="1" applyBorder="1" applyAlignment="1">
      <alignment vertical="center"/>
    </xf>
    <xf numFmtId="165" fontId="16" fillId="4" borderId="6" xfId="3" applyNumberFormat="1" applyFont="1" applyFill="1" applyBorder="1" applyAlignment="1">
      <alignment horizontal="center" vertical="center" wrapText="1"/>
    </xf>
    <xf numFmtId="165" fontId="15" fillId="4" borderId="6" xfId="3" applyNumberFormat="1" applyFont="1" applyFill="1" applyBorder="1" applyAlignment="1">
      <alignment horizontal="center" vertical="center" wrapText="1"/>
    </xf>
    <xf numFmtId="165" fontId="15" fillId="4" borderId="6" xfId="0" applyNumberFormat="1" applyFont="1" applyFill="1" applyBorder="1" applyAlignment="1">
      <alignment horizontal="center" vertical="center" wrapText="1"/>
    </xf>
    <xf numFmtId="0" fontId="42" fillId="0" borderId="0" xfId="0" applyFont="1"/>
    <xf numFmtId="0" fontId="42" fillId="0" borderId="0" xfId="0" applyFont="1" applyFill="1"/>
    <xf numFmtId="0" fontId="43" fillId="0" borderId="0" xfId="0" applyFont="1" applyFill="1"/>
    <xf numFmtId="0" fontId="4" fillId="6" borderId="0" xfId="0" applyFont="1" applyFill="1" applyBorder="1" applyAlignment="1">
      <alignment horizontal="center" vertical="center" wrapText="1"/>
    </xf>
    <xf numFmtId="3" fontId="18" fillId="6" borderId="0" xfId="3" applyNumberFormat="1" applyFont="1" applyFill="1" applyBorder="1" applyAlignment="1">
      <alignment vertical="center"/>
    </xf>
    <xf numFmtId="3" fontId="14" fillId="6" borderId="0" xfId="0" applyNumberFormat="1" applyFont="1" applyFill="1" applyBorder="1" applyAlignment="1">
      <alignment vertical="center"/>
    </xf>
    <xf numFmtId="3" fontId="18" fillId="0" borderId="0" xfId="3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3" fontId="21" fillId="0" borderId="0" xfId="0" applyNumberFormat="1" applyFont="1" applyBorder="1" applyAlignment="1">
      <alignment vertical="center"/>
    </xf>
    <xf numFmtId="0" fontId="12" fillId="3" borderId="0" xfId="3" applyFont="1" applyFill="1" applyBorder="1" applyAlignment="1">
      <alignment horizontal="right" vertical="center"/>
    </xf>
    <xf numFmtId="1" fontId="25" fillId="3" borderId="0" xfId="3" applyNumberFormat="1" applyFont="1" applyFill="1" applyBorder="1" applyAlignment="1">
      <alignment horizontal="left" vertical="center"/>
    </xf>
    <xf numFmtId="168" fontId="14" fillId="0" borderId="0" xfId="0" applyNumberFormat="1" applyFont="1" applyFill="1" applyBorder="1" applyAlignment="1">
      <alignment vertical="center"/>
    </xf>
    <xf numFmtId="168" fontId="21" fillId="0" borderId="0" xfId="0" applyNumberFormat="1" applyFont="1" applyFill="1" applyBorder="1" applyAlignment="1">
      <alignment vertical="center"/>
    </xf>
    <xf numFmtId="168" fontId="18" fillId="6" borderId="0" xfId="3" applyNumberFormat="1" applyFont="1" applyFill="1" applyBorder="1" applyAlignment="1">
      <alignment vertical="center"/>
    </xf>
    <xf numFmtId="168" fontId="14" fillId="6" borderId="0" xfId="0" applyNumberFormat="1" applyFont="1" applyFill="1" applyBorder="1" applyAlignment="1">
      <alignment vertical="center"/>
    </xf>
    <xf numFmtId="168" fontId="18" fillId="0" borderId="0" xfId="3" applyNumberFormat="1" applyFont="1" applyFill="1" applyBorder="1" applyAlignment="1">
      <alignment vertical="center"/>
    </xf>
    <xf numFmtId="0" fontId="44" fillId="6" borderId="5" xfId="0" applyFont="1" applyFill="1" applyBorder="1" applyAlignment="1">
      <alignment horizontal="left" vertical="center" wrapText="1"/>
    </xf>
    <xf numFmtId="0" fontId="31" fillId="0" borderId="0" xfId="0" applyFont="1" applyAlignment="1">
      <alignment horizontal="center" vertical="center"/>
    </xf>
    <xf numFmtId="0" fontId="44" fillId="6" borderId="0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34" fillId="0" borderId="0" xfId="0" applyFont="1"/>
    <xf numFmtId="0" fontId="0" fillId="6" borderId="0" xfId="0" applyFill="1"/>
    <xf numFmtId="0" fontId="45" fillId="0" borderId="0" xfId="3" applyFont="1" applyFill="1" applyBorder="1" applyAlignment="1">
      <alignment vertical="center"/>
    </xf>
    <xf numFmtId="0" fontId="46" fillId="0" borderId="0" xfId="3" applyFont="1" applyBorder="1" applyAlignment="1">
      <alignment horizontal="center" vertical="center"/>
    </xf>
    <xf numFmtId="0" fontId="46" fillId="0" borderId="0" xfId="3" applyFont="1" applyBorder="1" applyAlignment="1">
      <alignment vertical="center"/>
    </xf>
    <xf numFmtId="0" fontId="47" fillId="0" borderId="0" xfId="3" applyFont="1" applyBorder="1" applyAlignment="1">
      <alignment vertical="center"/>
    </xf>
    <xf numFmtId="0" fontId="46" fillId="0" borderId="0" xfId="3" applyFont="1"/>
    <xf numFmtId="0" fontId="14" fillId="6" borderId="9" xfId="3" applyFont="1" applyFill="1" applyBorder="1" applyAlignment="1">
      <alignment horizontal="center" vertical="center"/>
    </xf>
    <xf numFmtId="3" fontId="21" fillId="6" borderId="9" xfId="3" applyNumberFormat="1" applyFont="1" applyFill="1" applyBorder="1" applyAlignment="1">
      <alignment vertical="center"/>
    </xf>
    <xf numFmtId="4" fontId="18" fillId="6" borderId="9" xfId="0" applyNumberFormat="1" applyFont="1" applyFill="1" applyBorder="1" applyAlignment="1">
      <alignment vertical="center"/>
    </xf>
    <xf numFmtId="9" fontId="14" fillId="2" borderId="0" xfId="2" applyFont="1" applyFill="1" applyBorder="1" applyAlignment="1">
      <alignment vertical="center"/>
    </xf>
    <xf numFmtId="9" fontId="48" fillId="0" borderId="0" xfId="2" applyFont="1" applyBorder="1" applyAlignment="1">
      <alignment vertical="center"/>
    </xf>
    <xf numFmtId="10" fontId="29" fillId="6" borderId="0" xfId="2" applyNumberFormat="1" applyFont="1" applyFill="1"/>
    <xf numFmtId="0" fontId="29" fillId="0" borderId="0" xfId="0" applyFont="1" applyBorder="1" applyAlignment="1">
      <alignment wrapText="1"/>
    </xf>
    <xf numFmtId="0" fontId="37" fillId="0" borderId="0" xfId="0" applyFont="1" applyBorder="1"/>
    <xf numFmtId="10" fontId="29" fillId="0" borderId="0" xfId="2" applyNumberFormat="1" applyFont="1" applyBorder="1"/>
    <xf numFmtId="9" fontId="48" fillId="0" borderId="0" xfId="2" applyFont="1" applyBorder="1" applyAlignment="1">
      <alignment horizontal="center" vertical="center" wrapText="1"/>
    </xf>
    <xf numFmtId="0" fontId="30" fillId="0" borderId="0" xfId="0" applyFont="1" applyAlignment="1"/>
    <xf numFmtId="0" fontId="5" fillId="6" borderId="0" xfId="0" applyFont="1" applyFill="1" applyAlignment="1"/>
    <xf numFmtId="0" fontId="30" fillId="0" borderId="0" xfId="0" applyFont="1" applyAlignment="1">
      <alignment horizontal="right"/>
    </xf>
    <xf numFmtId="0" fontId="28" fillId="0" borderId="0" xfId="0" applyFont="1" applyAlignment="1">
      <alignment horizontal="center"/>
    </xf>
    <xf numFmtId="0" fontId="3" fillId="6" borderId="0" xfId="0" applyFont="1" applyFill="1" applyAlignment="1" applyProtection="1">
      <protection locked="0"/>
    </xf>
    <xf numFmtId="0" fontId="29" fillId="0" borderId="0" xfId="0" applyFont="1" applyAlignment="1"/>
    <xf numFmtId="0" fontId="37" fillId="0" borderId="0" xfId="0" applyFont="1" applyAlignment="1"/>
    <xf numFmtId="3" fontId="8" fillId="2" borderId="1" xfId="2" applyNumberFormat="1" applyFont="1" applyFill="1" applyBorder="1" applyAlignment="1" applyProtection="1">
      <alignment horizontal="center"/>
      <protection locked="0"/>
    </xf>
    <xf numFmtId="3" fontId="8" fillId="6" borderId="0" xfId="2" applyNumberFormat="1" applyFont="1" applyFill="1" applyBorder="1" applyAlignment="1" applyProtection="1">
      <protection locked="0"/>
    </xf>
    <xf numFmtId="0" fontId="40" fillId="4" borderId="11" xfId="0" applyFont="1" applyFill="1" applyBorder="1" applyAlignment="1">
      <alignment horizontal="center" vertical="center" wrapText="1"/>
    </xf>
    <xf numFmtId="9" fontId="46" fillId="0" borderId="0" xfId="0" applyNumberFormat="1" applyFont="1" applyFill="1" applyBorder="1" applyAlignment="1">
      <alignment horizontal="left" vertical="center"/>
    </xf>
    <xf numFmtId="0" fontId="46" fillId="0" borderId="0" xfId="0" applyFont="1" applyFill="1" applyBorder="1" applyAlignment="1">
      <alignment horizontal="center" vertical="center"/>
    </xf>
    <xf numFmtId="3" fontId="46" fillId="0" borderId="0" xfId="0" applyNumberFormat="1" applyFont="1" applyFill="1" applyBorder="1" applyAlignment="1">
      <alignment vertical="center"/>
    </xf>
    <xf numFmtId="3" fontId="47" fillId="0" borderId="0" xfId="0" applyNumberFormat="1" applyFont="1" applyFill="1" applyBorder="1" applyAlignment="1">
      <alignment vertical="center"/>
    </xf>
    <xf numFmtId="3" fontId="45" fillId="6" borderId="0" xfId="0" applyNumberFormat="1" applyFont="1" applyFill="1" applyBorder="1" applyAlignment="1">
      <alignment vertical="center"/>
    </xf>
    <xf numFmtId="9" fontId="46" fillId="0" borderId="0" xfId="4" applyFont="1" applyFill="1"/>
    <xf numFmtId="0" fontId="46" fillId="0" borderId="0" xfId="0" applyFont="1" applyFill="1"/>
    <xf numFmtId="3" fontId="46" fillId="0" borderId="0" xfId="0" applyNumberFormat="1" applyFont="1" applyFill="1" applyBorder="1" applyAlignment="1">
      <alignment horizontal="center" vertical="center"/>
    </xf>
    <xf numFmtId="9" fontId="47" fillId="0" borderId="0" xfId="0" applyNumberFormat="1" applyFont="1" applyFill="1" applyBorder="1" applyAlignment="1">
      <alignment horizontal="left" vertical="center"/>
    </xf>
    <xf numFmtId="9" fontId="46" fillId="0" borderId="0" xfId="0" applyNumberFormat="1" applyFont="1" applyFill="1" applyBorder="1" applyAlignment="1">
      <alignment horizontal="left" vertical="center" indent="1"/>
    </xf>
    <xf numFmtId="3" fontId="14" fillId="0" borderId="9" xfId="0" applyNumberFormat="1" applyFont="1" applyFill="1" applyBorder="1" applyAlignment="1">
      <alignment vertical="center"/>
    </xf>
    <xf numFmtId="3" fontId="21" fillId="0" borderId="9" xfId="0" applyNumberFormat="1" applyFont="1" applyFill="1" applyBorder="1" applyAlignment="1">
      <alignment vertical="center"/>
    </xf>
    <xf numFmtId="3" fontId="18" fillId="6" borderId="9" xfId="0" applyNumberFormat="1" applyFont="1" applyFill="1" applyBorder="1" applyAlignment="1">
      <alignment vertical="center"/>
    </xf>
    <xf numFmtId="3" fontId="46" fillId="6" borderId="0" xfId="0" applyNumberFormat="1" applyFont="1" applyFill="1" applyBorder="1" applyAlignment="1">
      <alignment horizontal="center" vertical="center"/>
    </xf>
    <xf numFmtId="0" fontId="46" fillId="6" borderId="0" xfId="0" applyFont="1" applyFill="1" applyBorder="1" applyAlignment="1">
      <alignment horizontal="center" vertical="center"/>
    </xf>
    <xf numFmtId="0" fontId="46" fillId="6" borderId="0" xfId="0" applyFont="1" applyFill="1"/>
    <xf numFmtId="9" fontId="14" fillId="5" borderId="0" xfId="0" applyNumberFormat="1" applyFont="1" applyFill="1" applyBorder="1" applyAlignment="1">
      <alignment horizontal="left" vertical="center" wrapText="1"/>
    </xf>
    <xf numFmtId="9" fontId="49" fillId="0" borderId="5" xfId="2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9" fontId="50" fillId="0" borderId="0" xfId="2" applyFont="1" applyBorder="1" applyAlignment="1">
      <alignment vertical="center"/>
    </xf>
    <xf numFmtId="3" fontId="46" fillId="6" borderId="0" xfId="0" applyNumberFormat="1" applyFont="1" applyFill="1" applyBorder="1" applyAlignment="1">
      <alignment vertical="center"/>
    </xf>
    <xf numFmtId="9" fontId="20" fillId="0" borderId="9" xfId="0" applyNumberFormat="1" applyFont="1" applyFill="1" applyBorder="1" applyAlignment="1">
      <alignment horizontal="left" vertical="center"/>
    </xf>
    <xf numFmtId="0" fontId="44" fillId="6" borderId="0" xfId="0" applyFont="1" applyFill="1" applyBorder="1" applyAlignment="1">
      <alignment horizontal="left" vertical="center" wrapText="1" indent="1"/>
    </xf>
    <xf numFmtId="0" fontId="52" fillId="0" borderId="0" xfId="0" applyFont="1"/>
    <xf numFmtId="0" fontId="49" fillId="6" borderId="0" xfId="0" applyFont="1" applyFill="1" applyBorder="1" applyAlignment="1">
      <alignment horizontal="center" vertical="center" wrapText="1"/>
    </xf>
    <xf numFmtId="9" fontId="53" fillId="6" borderId="0" xfId="2" applyFont="1" applyFill="1" applyBorder="1" applyAlignment="1">
      <alignment horizontal="center" vertical="center" wrapText="1"/>
    </xf>
    <xf numFmtId="3" fontId="48" fillId="6" borderId="0" xfId="2" applyNumberFormat="1" applyFont="1" applyFill="1" applyBorder="1" applyAlignment="1" applyProtection="1">
      <alignment horizontal="center" vertical="center"/>
      <protection locked="0"/>
    </xf>
    <xf numFmtId="0" fontId="48" fillId="0" borderId="0" xfId="0" applyFont="1" applyBorder="1" applyAlignment="1">
      <alignment horizontal="center" vertical="center"/>
    </xf>
    <xf numFmtId="167" fontId="48" fillId="6" borderId="0" xfId="2" applyNumberFormat="1" applyFont="1" applyFill="1" applyBorder="1" applyAlignment="1" applyProtection="1">
      <alignment horizontal="center" vertical="center"/>
      <protection locked="0"/>
    </xf>
    <xf numFmtId="9" fontId="49" fillId="0" borderId="1" xfId="0" applyNumberFormat="1" applyFont="1" applyBorder="1" applyAlignment="1">
      <alignment horizontal="center" vertical="center" wrapText="1"/>
    </xf>
    <xf numFmtId="9" fontId="48" fillId="0" borderId="1" xfId="0" applyNumberFormat="1" applyFont="1" applyBorder="1" applyAlignment="1">
      <alignment horizontal="center" vertical="center" wrapText="1"/>
    </xf>
    <xf numFmtId="9" fontId="49" fillId="0" borderId="0" xfId="0" applyNumberFormat="1" applyFont="1" applyBorder="1" applyAlignment="1">
      <alignment horizontal="center" vertical="center" wrapText="1"/>
    </xf>
    <xf numFmtId="9" fontId="49" fillId="0" borderId="0" xfId="0" applyNumberFormat="1" applyFont="1" applyBorder="1" applyAlignment="1">
      <alignment vertical="center" wrapText="1"/>
    </xf>
    <xf numFmtId="3" fontId="48" fillId="6" borderId="0" xfId="2" applyNumberFormat="1" applyFont="1" applyFill="1" applyBorder="1" applyAlignment="1" applyProtection="1">
      <alignment vertical="center"/>
      <protection locked="0"/>
    </xf>
    <xf numFmtId="167" fontId="48" fillId="6" borderId="0" xfId="2" applyNumberFormat="1" applyFont="1" applyFill="1" applyBorder="1" applyAlignment="1" applyProtection="1">
      <alignment vertical="center"/>
      <protection locked="0"/>
    </xf>
    <xf numFmtId="9" fontId="49" fillId="0" borderId="1" xfId="0" applyNumberFormat="1" applyFont="1" applyBorder="1" applyAlignment="1">
      <alignment horizontal="center" vertical="center"/>
    </xf>
    <xf numFmtId="167" fontId="48" fillId="6" borderId="1" xfId="2" applyNumberFormat="1" applyFont="1" applyFill="1" applyBorder="1" applyAlignment="1" applyProtection="1">
      <alignment horizontal="center" vertical="center"/>
      <protection locked="0"/>
    </xf>
    <xf numFmtId="167" fontId="48" fillId="6" borderId="5" xfId="2" applyNumberFormat="1" applyFont="1" applyFill="1" applyBorder="1" applyAlignment="1" applyProtection="1">
      <alignment horizontal="center" vertical="center"/>
      <protection locked="0"/>
    </xf>
    <xf numFmtId="9" fontId="48" fillId="6" borderId="5" xfId="2" applyFont="1" applyFill="1" applyBorder="1" applyAlignment="1" applyProtection="1">
      <alignment horizontal="center" vertical="center"/>
      <protection locked="0"/>
    </xf>
    <xf numFmtId="3" fontId="56" fillId="6" borderId="1" xfId="2" applyNumberFormat="1" applyFont="1" applyFill="1" applyBorder="1" applyAlignment="1" applyProtection="1">
      <alignment horizontal="center" vertical="center"/>
      <protection locked="0"/>
    </xf>
    <xf numFmtId="0" fontId="52" fillId="6" borderId="5" xfId="0" applyFont="1" applyFill="1" applyBorder="1"/>
    <xf numFmtId="0" fontId="52" fillId="0" borderId="5" xfId="0" applyFont="1" applyBorder="1"/>
    <xf numFmtId="0" fontId="52" fillId="0" borderId="5" xfId="0" applyFont="1" applyBorder="1" applyAlignment="1">
      <alignment horizontal="left" indent="1"/>
    </xf>
    <xf numFmtId="0" fontId="48" fillId="0" borderId="0" xfId="0" applyFont="1" applyAlignment="1">
      <alignment vertical="center"/>
    </xf>
    <xf numFmtId="0" fontId="52" fillId="0" borderId="0" xfId="0" applyFont="1" applyAlignment="1">
      <alignment horizontal="left" indent="1"/>
    </xf>
    <xf numFmtId="0" fontId="58" fillId="0" borderId="0" xfId="0" applyFont="1" applyAlignment="1">
      <alignment horizontal="center" vertical="center" wrapText="1"/>
    </xf>
    <xf numFmtId="0" fontId="58" fillId="0" borderId="5" xfId="0" applyFont="1" applyBorder="1" applyAlignment="1">
      <alignment horizontal="center" vertical="center" wrapText="1"/>
    </xf>
    <xf numFmtId="0" fontId="58" fillId="0" borderId="0" xfId="0" applyFont="1" applyAlignment="1">
      <alignment vertical="center" wrapText="1"/>
    </xf>
    <xf numFmtId="0" fontId="52" fillId="6" borderId="0" xfId="0" applyFont="1" applyFill="1" applyBorder="1"/>
    <xf numFmtId="9" fontId="49" fillId="0" borderId="0" xfId="2" applyFont="1" applyBorder="1" applyAlignment="1">
      <alignment horizontal="left" vertical="center"/>
    </xf>
    <xf numFmtId="0" fontId="52" fillId="0" borderId="0" xfId="0" applyFont="1" applyBorder="1"/>
    <xf numFmtId="0" fontId="52" fillId="0" borderId="0" xfId="0" applyFont="1" applyAlignment="1"/>
    <xf numFmtId="0" fontId="59" fillId="0" borderId="0" xfId="0" applyFont="1" applyBorder="1" applyAlignment="1">
      <alignment vertical="center"/>
    </xf>
    <xf numFmtId="0" fontId="59" fillId="0" borderId="0" xfId="0" applyFont="1" applyBorder="1" applyAlignment="1">
      <alignment horizontal="left" vertical="center"/>
    </xf>
    <xf numFmtId="0" fontId="60" fillId="6" borderId="0" xfId="0" applyFont="1" applyFill="1" applyAlignment="1"/>
    <xf numFmtId="0" fontId="61" fillId="0" borderId="0" xfId="0" applyFont="1"/>
    <xf numFmtId="0" fontId="53" fillId="0" borderId="0" xfId="0" applyFont="1" applyBorder="1" applyAlignment="1">
      <alignment horizontal="left" vertical="center"/>
    </xf>
    <xf numFmtId="0" fontId="60" fillId="0" borderId="0" xfId="0" applyFont="1" applyAlignment="1"/>
    <xf numFmtId="0" fontId="53" fillId="0" borderId="0" xfId="0" applyFont="1" applyAlignment="1">
      <alignment horizontal="left" vertical="center"/>
    </xf>
    <xf numFmtId="0" fontId="52" fillId="6" borderId="0" xfId="0" applyFont="1" applyFill="1"/>
    <xf numFmtId="0" fontId="58" fillId="0" borderId="0" xfId="0" applyFont="1" applyBorder="1" applyAlignment="1">
      <alignment horizontal="center" vertical="center"/>
    </xf>
    <xf numFmtId="9" fontId="49" fillId="0" borderId="0" xfId="2" applyFont="1" applyBorder="1" applyAlignment="1">
      <alignment horizontal="left" vertical="center" indent="1"/>
    </xf>
    <xf numFmtId="0" fontId="53" fillId="0" borderId="0" xfId="0" applyFont="1" applyBorder="1" applyAlignment="1">
      <alignment vertical="center"/>
    </xf>
    <xf numFmtId="0" fontId="53" fillId="6" borderId="0" xfId="0" applyFont="1" applyFill="1" applyBorder="1" applyAlignment="1">
      <alignment vertical="center"/>
    </xf>
    <xf numFmtId="3" fontId="48" fillId="6" borderId="0" xfId="1" applyNumberFormat="1" applyFont="1" applyFill="1" applyBorder="1" applyAlignment="1" applyProtection="1">
      <alignment horizontal="center" vertical="center"/>
      <protection locked="0"/>
    </xf>
    <xf numFmtId="9" fontId="53" fillId="0" borderId="0" xfId="2" applyFont="1" applyBorder="1" applyAlignment="1">
      <alignment horizontal="left" vertical="center" wrapText="1"/>
    </xf>
    <xf numFmtId="167" fontId="62" fillId="6" borderId="0" xfId="2" applyNumberFormat="1" applyFont="1" applyFill="1" applyBorder="1" applyAlignment="1" applyProtection="1">
      <alignment horizontal="center" vertical="center"/>
      <protection locked="0"/>
    </xf>
    <xf numFmtId="0" fontId="52" fillId="0" borderId="0" xfId="0" applyFont="1" applyBorder="1" applyAlignment="1">
      <alignment horizontal="left" indent="1"/>
    </xf>
    <xf numFmtId="0" fontId="64" fillId="0" borderId="0" xfId="0" applyFont="1" applyBorder="1"/>
    <xf numFmtId="9" fontId="53" fillId="6" borderId="0" xfId="2" applyFont="1" applyFill="1" applyBorder="1" applyAlignment="1">
      <alignment vertical="center"/>
    </xf>
    <xf numFmtId="0" fontId="49" fillId="0" borderId="1" xfId="0" applyFont="1" applyBorder="1" applyAlignment="1">
      <alignment horizontal="center" vertical="center" wrapText="1"/>
    </xf>
    <xf numFmtId="3" fontId="48" fillId="2" borderId="1" xfId="1" applyNumberFormat="1" applyFont="1" applyFill="1" applyBorder="1" applyAlignment="1">
      <alignment horizontal="center" vertical="center"/>
    </xf>
    <xf numFmtId="10" fontId="48" fillId="2" borderId="1" xfId="2" applyNumberFormat="1" applyFont="1" applyFill="1" applyBorder="1" applyAlignment="1">
      <alignment horizontal="center" vertical="center"/>
    </xf>
    <xf numFmtId="0" fontId="54" fillId="6" borderId="5" xfId="0" applyFont="1" applyFill="1" applyBorder="1" applyAlignment="1">
      <alignment horizontal="left" vertical="center" wrapText="1"/>
    </xf>
    <xf numFmtId="0" fontId="58" fillId="0" borderId="0" xfId="0" applyFont="1" applyAlignment="1">
      <alignment horizontal="center" vertical="center"/>
    </xf>
    <xf numFmtId="0" fontId="49" fillId="6" borderId="0" xfId="0" applyFont="1" applyFill="1" applyBorder="1" applyAlignment="1">
      <alignment vertical="center" wrapText="1"/>
    </xf>
    <xf numFmtId="9" fontId="49" fillId="0" borderId="0" xfId="2" applyFont="1" applyBorder="1" applyAlignment="1">
      <alignment horizontal="left" vertical="center" wrapText="1" indent="1"/>
    </xf>
    <xf numFmtId="3" fontId="48" fillId="2" borderId="1" xfId="1" applyNumberFormat="1" applyFont="1" applyFill="1" applyBorder="1" applyAlignment="1">
      <alignment horizontal="center" vertical="center"/>
    </xf>
    <xf numFmtId="0" fontId="48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9" fontId="53" fillId="0" borderId="0" xfId="2" applyFont="1" applyBorder="1" applyAlignment="1">
      <alignment horizontal="center" vertical="center" wrapText="1"/>
    </xf>
    <xf numFmtId="9" fontId="53" fillId="0" borderId="10" xfId="2" applyFont="1" applyBorder="1" applyAlignment="1">
      <alignment horizontal="center" vertical="center" wrapText="1"/>
    </xf>
    <xf numFmtId="9" fontId="48" fillId="2" borderId="1" xfId="2" applyFont="1" applyFill="1" applyBorder="1" applyAlignment="1" applyProtection="1">
      <alignment horizontal="center" vertical="center"/>
      <protection locked="0"/>
    </xf>
    <xf numFmtId="3" fontId="48" fillId="2" borderId="16" xfId="1" applyNumberFormat="1" applyFont="1" applyFill="1" applyBorder="1" applyAlignment="1" applyProtection="1">
      <alignment horizontal="center" vertical="center"/>
      <protection locked="0"/>
    </xf>
    <xf numFmtId="3" fontId="48" fillId="2" borderId="1" xfId="1" applyNumberFormat="1" applyFont="1" applyFill="1" applyBorder="1" applyAlignment="1" applyProtection="1">
      <alignment horizontal="center" vertical="center"/>
      <protection locked="0"/>
    </xf>
    <xf numFmtId="0" fontId="49" fillId="0" borderId="1" xfId="0" applyFont="1" applyBorder="1" applyAlignment="1">
      <alignment horizontal="center" vertical="center" wrapText="1"/>
    </xf>
    <xf numFmtId="10" fontId="48" fillId="2" borderId="1" xfId="2" applyNumberFormat="1" applyFont="1" applyFill="1" applyBorder="1" applyAlignment="1" applyProtection="1">
      <alignment horizontal="center" vertical="center"/>
      <protection locked="0"/>
    </xf>
    <xf numFmtId="10" fontId="48" fillId="2" borderId="1" xfId="2" applyNumberFormat="1" applyFont="1" applyFill="1" applyBorder="1" applyAlignment="1">
      <alignment horizontal="center" vertical="center"/>
    </xf>
    <xf numFmtId="9" fontId="49" fillId="0" borderId="1" xfId="2" applyFont="1" applyBorder="1" applyAlignment="1">
      <alignment horizontal="center" vertical="center" wrapText="1"/>
    </xf>
    <xf numFmtId="0" fontId="58" fillId="0" borderId="0" xfId="0" applyFont="1" applyBorder="1" applyAlignment="1">
      <alignment horizontal="center" vertical="center"/>
    </xf>
    <xf numFmtId="167" fontId="48" fillId="6" borderId="1" xfId="2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center" vertical="center" wrapText="1"/>
    </xf>
    <xf numFmtId="9" fontId="48" fillId="6" borderId="1" xfId="2" applyFont="1" applyFill="1" applyBorder="1" applyAlignment="1" applyProtection="1">
      <alignment horizontal="center" vertical="center"/>
      <protection locked="0"/>
    </xf>
    <xf numFmtId="9" fontId="48" fillId="6" borderId="2" xfId="2" applyFont="1" applyFill="1" applyBorder="1" applyAlignment="1" applyProtection="1">
      <alignment horizontal="center" vertical="center"/>
      <protection locked="0"/>
    </xf>
    <xf numFmtId="9" fontId="48" fillId="6" borderId="3" xfId="2" applyFont="1" applyFill="1" applyBorder="1" applyAlignment="1" applyProtection="1">
      <alignment horizontal="center" vertical="center"/>
      <protection locked="0"/>
    </xf>
    <xf numFmtId="9" fontId="48" fillId="6" borderId="4" xfId="2" applyFont="1" applyFill="1" applyBorder="1" applyAlignment="1" applyProtection="1">
      <alignment horizontal="center" vertical="center"/>
      <protection locked="0"/>
    </xf>
    <xf numFmtId="3" fontId="48" fillId="2" borderId="1" xfId="2" applyNumberFormat="1" applyFont="1" applyFill="1" applyBorder="1" applyAlignment="1" applyProtection="1">
      <alignment horizontal="center" vertical="center"/>
      <protection locked="0"/>
    </xf>
    <xf numFmtId="9" fontId="48" fillId="6" borderId="20" xfId="2" applyFont="1" applyFill="1" applyBorder="1" applyAlignment="1" applyProtection="1">
      <alignment horizontal="center" vertical="center"/>
      <protection locked="0"/>
    </xf>
    <xf numFmtId="9" fontId="48" fillId="6" borderId="21" xfId="2" applyFont="1" applyFill="1" applyBorder="1" applyAlignment="1" applyProtection="1">
      <alignment horizontal="center" vertical="center"/>
      <protection locked="0"/>
    </xf>
    <xf numFmtId="9" fontId="48" fillId="6" borderId="22" xfId="2" applyFont="1" applyFill="1" applyBorder="1" applyAlignment="1" applyProtection="1">
      <alignment horizontal="center" vertical="center"/>
      <protection locked="0"/>
    </xf>
    <xf numFmtId="9" fontId="48" fillId="6" borderId="23" xfId="2" applyFont="1" applyFill="1" applyBorder="1" applyAlignment="1" applyProtection="1">
      <alignment horizontal="center" vertical="center"/>
      <protection locked="0"/>
    </xf>
    <xf numFmtId="10" fontId="48" fillId="6" borderId="1" xfId="2" applyNumberFormat="1" applyFont="1" applyFill="1" applyBorder="1" applyAlignment="1" applyProtection="1">
      <alignment horizontal="center" vertical="center"/>
      <protection locked="0"/>
    </xf>
    <xf numFmtId="0" fontId="51" fillId="7" borderId="0" xfId="0" applyFont="1" applyFill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9" fontId="53" fillId="0" borderId="0" xfId="2" applyFont="1" applyBorder="1" applyAlignment="1">
      <alignment horizontal="left" vertical="center" wrapText="1"/>
    </xf>
    <xf numFmtId="9" fontId="53" fillId="0" borderId="10" xfId="2" applyFont="1" applyBorder="1" applyAlignment="1">
      <alignment horizontal="left" vertical="center" wrapText="1"/>
    </xf>
    <xf numFmtId="9" fontId="53" fillId="0" borderId="17" xfId="2" applyFont="1" applyBorder="1" applyAlignment="1">
      <alignment horizontal="center" vertical="center" wrapText="1"/>
    </xf>
    <xf numFmtId="9" fontId="53" fillId="0" borderId="18" xfId="2" applyFont="1" applyBorder="1" applyAlignment="1">
      <alignment horizontal="center" vertical="center" wrapText="1"/>
    </xf>
    <xf numFmtId="9" fontId="53" fillId="0" borderId="19" xfId="2" applyFont="1" applyBorder="1" applyAlignment="1">
      <alignment horizontal="center" vertical="center" wrapText="1"/>
    </xf>
    <xf numFmtId="3" fontId="48" fillId="6" borderId="1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9" fontId="53" fillId="0" borderId="24" xfId="2" applyFont="1" applyBorder="1" applyAlignment="1">
      <alignment horizontal="center" vertical="center" wrapText="1"/>
    </xf>
    <xf numFmtId="9" fontId="53" fillId="0" borderId="25" xfId="2" applyFont="1" applyBorder="1" applyAlignment="1">
      <alignment horizontal="center" vertical="center" wrapText="1"/>
    </xf>
    <xf numFmtId="9" fontId="53" fillId="0" borderId="26" xfId="2" applyFont="1" applyBorder="1" applyAlignment="1">
      <alignment horizontal="center" vertical="center" wrapText="1"/>
    </xf>
    <xf numFmtId="9" fontId="53" fillId="6" borderId="0" xfId="2" applyFont="1" applyFill="1" applyBorder="1" applyAlignment="1">
      <alignment horizontal="left" vertical="center" wrapText="1"/>
    </xf>
    <xf numFmtId="9" fontId="53" fillId="6" borderId="10" xfId="2" applyFont="1" applyFill="1" applyBorder="1" applyAlignment="1">
      <alignment horizontal="left" vertical="center" wrapText="1"/>
    </xf>
    <xf numFmtId="0" fontId="44" fillId="6" borderId="5" xfId="0" applyFont="1" applyFill="1" applyBorder="1" applyAlignment="1">
      <alignment horizontal="left" vertical="center" wrapText="1"/>
    </xf>
    <xf numFmtId="9" fontId="49" fillId="0" borderId="1" xfId="0" applyNumberFormat="1" applyFont="1" applyBorder="1" applyAlignment="1">
      <alignment horizontal="center" vertical="center"/>
    </xf>
    <xf numFmtId="167" fontId="48" fillId="6" borderId="2" xfId="2" applyNumberFormat="1" applyFont="1" applyFill="1" applyBorder="1" applyAlignment="1" applyProtection="1">
      <alignment horizontal="center" vertical="center"/>
      <protection locked="0"/>
    </xf>
    <xf numFmtId="167" fontId="48" fillId="6" borderId="4" xfId="2" applyNumberFormat="1" applyFont="1" applyFill="1" applyBorder="1" applyAlignment="1" applyProtection="1">
      <alignment horizontal="center" vertical="center"/>
      <protection locked="0"/>
    </xf>
    <xf numFmtId="9" fontId="48" fillId="0" borderId="1" xfId="2" applyFont="1" applyBorder="1" applyAlignment="1">
      <alignment horizontal="center" vertical="center" wrapText="1"/>
    </xf>
    <xf numFmtId="167" fontId="48" fillId="6" borderId="0" xfId="2" applyNumberFormat="1" applyFont="1" applyFill="1" applyBorder="1" applyAlignment="1" applyProtection="1">
      <alignment horizontal="center" vertical="center"/>
      <protection locked="0"/>
    </xf>
    <xf numFmtId="3" fontId="48" fillId="6" borderId="1" xfId="2" applyNumberFormat="1" applyFont="1" applyFill="1" applyBorder="1" applyAlignment="1" applyProtection="1">
      <alignment horizontal="center" vertical="center"/>
      <protection locked="0"/>
    </xf>
    <xf numFmtId="9" fontId="49" fillId="0" borderId="1" xfId="0" applyNumberFormat="1" applyFont="1" applyBorder="1" applyAlignment="1">
      <alignment horizontal="center" vertical="center" wrapText="1"/>
    </xf>
    <xf numFmtId="9" fontId="48" fillId="0" borderId="15" xfId="2" applyFont="1" applyBorder="1" applyAlignment="1">
      <alignment horizontal="center" vertical="center" wrapText="1"/>
    </xf>
    <xf numFmtId="9" fontId="48" fillId="0" borderId="9" xfId="2" applyFont="1" applyBorder="1" applyAlignment="1">
      <alignment horizontal="center" vertical="center" wrapText="1"/>
    </xf>
    <xf numFmtId="9" fontId="48" fillId="0" borderId="14" xfId="2" applyFont="1" applyBorder="1" applyAlignment="1">
      <alignment horizontal="center" vertical="center" wrapText="1"/>
    </xf>
    <xf numFmtId="3" fontId="48" fillId="6" borderId="2" xfId="2" applyNumberFormat="1" applyFont="1" applyFill="1" applyBorder="1" applyAlignment="1" applyProtection="1">
      <alignment horizontal="center" vertical="center"/>
      <protection locked="0"/>
    </xf>
    <xf numFmtId="3" fontId="48" fillId="6" borderId="4" xfId="2" applyNumberFormat="1" applyFont="1" applyFill="1" applyBorder="1" applyAlignment="1" applyProtection="1">
      <alignment horizontal="center" vertical="center"/>
      <protection locked="0"/>
    </xf>
    <xf numFmtId="9" fontId="48" fillId="0" borderId="12" xfId="2" applyFont="1" applyBorder="1" applyAlignment="1">
      <alignment horizontal="center" vertical="center" wrapText="1"/>
    </xf>
    <xf numFmtId="9" fontId="48" fillId="0" borderId="5" xfId="2" applyFont="1" applyBorder="1" applyAlignment="1">
      <alignment horizontal="center" vertical="center" wrapText="1"/>
    </xf>
    <xf numFmtId="9" fontId="48" fillId="0" borderId="13" xfId="2" applyFont="1" applyBorder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3" fontId="63" fillId="0" borderId="1" xfId="1" applyNumberFormat="1" applyFont="1" applyBorder="1" applyAlignment="1">
      <alignment horizontal="center" vertical="center"/>
    </xf>
    <xf numFmtId="3" fontId="48" fillId="6" borderId="1" xfId="1" applyNumberFormat="1" applyFont="1" applyFill="1" applyBorder="1" applyAlignment="1">
      <alignment horizontal="center" vertical="center"/>
    </xf>
    <xf numFmtId="3" fontId="62" fillId="0" borderId="0" xfId="1" applyNumberFormat="1" applyFont="1" applyBorder="1" applyAlignment="1">
      <alignment horizontal="center" vertical="center"/>
    </xf>
    <xf numFmtId="0" fontId="50" fillId="0" borderId="0" xfId="0" applyFont="1" applyAlignment="1">
      <alignment horizontal="center" vertical="center" wrapText="1"/>
    </xf>
    <xf numFmtId="0" fontId="50" fillId="0" borderId="10" xfId="0" applyFont="1" applyBorder="1" applyAlignment="1">
      <alignment horizontal="center" vertical="center" wrapText="1"/>
    </xf>
    <xf numFmtId="0" fontId="54" fillId="6" borderId="5" xfId="0" applyFont="1" applyFill="1" applyBorder="1" applyAlignment="1">
      <alignment horizontal="left" wrapText="1"/>
    </xf>
    <xf numFmtId="0" fontId="61" fillId="0" borderId="0" xfId="0" applyFont="1" applyBorder="1" applyAlignment="1">
      <alignment horizontal="center"/>
    </xf>
    <xf numFmtId="3" fontId="62" fillId="6" borderId="1" xfId="1" applyNumberFormat="1" applyFont="1" applyFill="1" applyBorder="1" applyAlignment="1">
      <alignment horizontal="center" vertical="center"/>
    </xf>
    <xf numFmtId="0" fontId="50" fillId="0" borderId="0" xfId="0" applyFont="1" applyBorder="1" applyAlignment="1">
      <alignment horizontal="left" vertical="center"/>
    </xf>
    <xf numFmtId="0" fontId="50" fillId="0" borderId="10" xfId="0" applyFont="1" applyBorder="1" applyAlignment="1">
      <alignment horizontal="left" vertical="center"/>
    </xf>
    <xf numFmtId="0" fontId="58" fillId="0" borderId="0" xfId="0" applyFont="1" applyBorder="1" applyAlignment="1">
      <alignment horizontal="center" vertical="center" wrapText="1"/>
    </xf>
    <xf numFmtId="3" fontId="48" fillId="0" borderId="1" xfId="1" applyNumberFormat="1" applyFont="1" applyBorder="1" applyAlignment="1">
      <alignment horizontal="center" vertical="center"/>
    </xf>
    <xf numFmtId="0" fontId="65" fillId="0" borderId="0" xfId="0" applyFont="1" applyAlignment="1">
      <alignment horizontal="right" vertical="center" wrapText="1"/>
    </xf>
    <xf numFmtId="0" fontId="48" fillId="0" borderId="0" xfId="0" applyFont="1" applyAlignment="1">
      <alignment horizontal="right" vertical="center" wrapText="1"/>
    </xf>
    <xf numFmtId="9" fontId="48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9" fontId="50" fillId="0" borderId="3" xfId="2" applyFont="1" applyBorder="1" applyAlignment="1">
      <alignment horizontal="center" vertical="center" wrapText="1"/>
    </xf>
    <xf numFmtId="3" fontId="57" fillId="6" borderId="2" xfId="2" applyNumberFormat="1" applyFont="1" applyFill="1" applyBorder="1" applyAlignment="1" applyProtection="1">
      <alignment horizontal="center" vertical="center"/>
      <protection locked="0"/>
    </xf>
    <xf numFmtId="3" fontId="57" fillId="6" borderId="4" xfId="2" applyNumberFormat="1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>
      <alignment horizontal="center"/>
    </xf>
    <xf numFmtId="0" fontId="40" fillId="4" borderId="0" xfId="0" applyFont="1" applyFill="1" applyBorder="1" applyAlignment="1">
      <alignment horizontal="center" vertical="center" wrapText="1"/>
    </xf>
    <xf numFmtId="0" fontId="40" fillId="4" borderId="11" xfId="0" applyFont="1" applyFill="1" applyBorder="1" applyAlignment="1">
      <alignment horizontal="center" vertical="center" wrapText="1"/>
    </xf>
    <xf numFmtId="0" fontId="36" fillId="6" borderId="2" xfId="3" applyFont="1" applyFill="1" applyBorder="1" applyAlignment="1">
      <alignment horizontal="center" vertical="center" wrapText="1"/>
    </xf>
    <xf numFmtId="0" fontId="36" fillId="6" borderId="3" xfId="3" applyFont="1" applyFill="1" applyBorder="1" applyAlignment="1">
      <alignment horizontal="center" vertical="center" wrapText="1"/>
    </xf>
    <xf numFmtId="0" fontId="36" fillId="6" borderId="4" xfId="3" applyFont="1" applyFill="1" applyBorder="1" applyAlignment="1">
      <alignment horizontal="center" vertical="center" wrapText="1"/>
    </xf>
    <xf numFmtId="0" fontId="36" fillId="0" borderId="2" xfId="3" applyFont="1" applyBorder="1" applyAlignment="1">
      <alignment horizontal="center" vertical="center" wrapText="1"/>
    </xf>
    <xf numFmtId="0" fontId="36" fillId="0" borderId="3" xfId="3" applyFont="1" applyBorder="1" applyAlignment="1">
      <alignment horizontal="center" vertical="center" wrapText="1"/>
    </xf>
    <xf numFmtId="0" fontId="36" fillId="0" borderId="4" xfId="3" applyFont="1" applyBorder="1" applyAlignment="1">
      <alignment horizontal="center" vertical="center" wrapText="1"/>
    </xf>
    <xf numFmtId="0" fontId="36" fillId="0" borderId="1" xfId="3" applyFont="1" applyBorder="1" applyAlignment="1">
      <alignment horizontal="center" vertical="center" wrapText="1"/>
    </xf>
    <xf numFmtId="9" fontId="5" fillId="0" borderId="0" xfId="2" applyFont="1" applyBorder="1" applyAlignment="1">
      <alignment horizontal="left" vertical="center" wrapText="1"/>
    </xf>
    <xf numFmtId="9" fontId="5" fillId="0" borderId="10" xfId="2" applyFont="1" applyBorder="1" applyAlignment="1">
      <alignment horizontal="left" vertical="center" wrapText="1"/>
    </xf>
    <xf numFmtId="9" fontId="5" fillId="0" borderId="0" xfId="2" applyFont="1" applyBorder="1" applyAlignment="1">
      <alignment vertical="center"/>
    </xf>
    <xf numFmtId="9" fontId="5" fillId="0" borderId="10" xfId="2" applyFont="1" applyBorder="1" applyAlignment="1">
      <alignment vertical="center"/>
    </xf>
    <xf numFmtId="9" fontId="5" fillId="6" borderId="0" xfId="2" applyFont="1" applyFill="1" applyBorder="1" applyAlignment="1">
      <alignment horizontal="left" vertical="center" wrapText="1"/>
    </xf>
    <xf numFmtId="9" fontId="5" fillId="6" borderId="10" xfId="2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center" vertical="center" wrapText="1"/>
    </xf>
  </cellXfs>
  <cellStyles count="6">
    <cellStyle name="Обычный" xfId="0" builtinId="0"/>
    <cellStyle name="Обычный_7.1. ТЭО (RH)" xfId="3"/>
    <cellStyle name="Процентный" xfId="2" builtinId="5"/>
    <cellStyle name="Процентный 2" xfId="4"/>
    <cellStyle name="Финансовый" xfId="1" builtinId="3"/>
    <cellStyle name="Финансовый 2" xfId="5"/>
  </cellStyles>
  <dxfs count="11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externalLink" Target="externalLinks/externalLink1.xml"/><Relationship Id="rId5" Type="http://schemas.openxmlformats.org/officeDocument/2006/relationships/externalLink" Target="externalLinks/externalLink2.xml"/><Relationship Id="rId6" Type="http://schemas.openxmlformats.org/officeDocument/2006/relationships/externalLink" Target="externalLinks/externalLink3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trlProps/ctrlProp1.xml><?xml version="1.0" encoding="utf-8"?>
<formControlPr xmlns="http://schemas.microsoft.com/office/spreadsheetml/2009/9/main" objectType="Drop" dropLines="72" dropStyle="combo" dx="22" fmlaLink="$M$1" fmlaRange="$N$1:$N$3" sel="2" val="0"/>
</file>

<file path=xl/ctrlProps/ctrlProp2.xml><?xml version="1.0" encoding="utf-8"?>
<formControlPr xmlns="http://schemas.microsoft.com/office/spreadsheetml/2009/9/main" objectType="Drop" dropLines="83" dropStyle="combo" dx="22" fmlaLink="O$1" fmlaRange="$P$1:$P$12" val="0"/>
</file>

<file path=xl/drawings/_rels/drawing1.xml.rels><?xml version="1.0" encoding="UTF-8" standalone="yes"?>
<Relationships xmlns="http://schemas.openxmlformats.org/package/2006/relationships"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1" Type="http://schemas.openxmlformats.org/officeDocument/2006/relationships/image" Target="../media/image4.png"/><Relationship Id="rId12" Type="http://schemas.openxmlformats.org/officeDocument/2006/relationships/image" Target="../media/image5.png"/><Relationship Id="rId13" Type="http://schemas.openxmlformats.org/officeDocument/2006/relationships/image" Target="../media/image11.png"/><Relationship Id="rId14" Type="http://schemas.openxmlformats.org/officeDocument/2006/relationships/image" Target="../media/image12.png"/><Relationship Id="rId15" Type="http://schemas.openxmlformats.org/officeDocument/2006/relationships/image" Target="../media/image14.png"/><Relationship Id="rId16" Type="http://schemas.openxmlformats.org/officeDocument/2006/relationships/image" Target="../media/image19.png"/><Relationship Id="rId17" Type="http://schemas.openxmlformats.org/officeDocument/2006/relationships/image" Target="../media/image15.png"/><Relationship Id="rId18" Type="http://schemas.openxmlformats.org/officeDocument/2006/relationships/image" Target="../media/image16.png"/><Relationship Id="rId19" Type="http://schemas.openxmlformats.org/officeDocument/2006/relationships/image" Target="../media/image17.png"/><Relationship Id="rId1" Type="http://schemas.openxmlformats.org/officeDocument/2006/relationships/image" Target="../media/image6.png"/><Relationship Id="rId2" Type="http://schemas.openxmlformats.org/officeDocument/2006/relationships/image" Target="../media/image7.png"/><Relationship Id="rId3" Type="http://schemas.openxmlformats.org/officeDocument/2006/relationships/image" Target="../media/image8.png"/><Relationship Id="rId4" Type="http://schemas.openxmlformats.org/officeDocument/2006/relationships/image" Target="../media/image9.png"/><Relationship Id="rId5" Type="http://schemas.openxmlformats.org/officeDocument/2006/relationships/image" Target="../media/image10.png"/><Relationship Id="rId6" Type="http://schemas.openxmlformats.org/officeDocument/2006/relationships/image" Target="../media/image18.png"/><Relationship Id="rId7" Type="http://schemas.openxmlformats.org/officeDocument/2006/relationships/image" Target="../media/image1.png"/><Relationship Id="rId8" Type="http://schemas.openxmlformats.org/officeDocument/2006/relationships/image" Target="../media/image2.png"/><Relationship Id="rId9" Type="http://schemas.openxmlformats.org/officeDocument/2006/relationships/image" Target="../media/image13.png"/><Relationship Id="rId10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36413</xdr:colOff>
      <xdr:row>45</xdr:row>
      <xdr:rowOff>22333</xdr:rowOff>
    </xdr:from>
    <xdr:to>
      <xdr:col>0</xdr:col>
      <xdr:colOff>540413</xdr:colOff>
      <xdr:row>45</xdr:row>
      <xdr:rowOff>525773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13" y="11945392"/>
          <a:ext cx="504000" cy="503440"/>
        </a:xfrm>
        <a:prstGeom prst="rect">
          <a:avLst/>
        </a:prstGeom>
      </xdr:spPr>
    </xdr:pic>
    <xdr:clientData/>
  </xdr:twoCellAnchor>
  <xdr:twoCellAnchor editAs="oneCell">
    <xdr:from>
      <xdr:col>0</xdr:col>
      <xdr:colOff>50423</xdr:colOff>
      <xdr:row>46</xdr:row>
      <xdr:rowOff>9250</xdr:rowOff>
    </xdr:from>
    <xdr:to>
      <xdr:col>1</xdr:col>
      <xdr:colOff>5335</xdr:colOff>
      <xdr:row>46</xdr:row>
      <xdr:rowOff>512689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3" y="12470191"/>
          <a:ext cx="504000" cy="503439"/>
        </a:xfrm>
        <a:prstGeom prst="rect">
          <a:avLst/>
        </a:prstGeom>
      </xdr:spPr>
    </xdr:pic>
    <xdr:clientData/>
  </xdr:twoCellAnchor>
  <xdr:twoCellAnchor editAs="oneCell">
    <xdr:from>
      <xdr:col>0</xdr:col>
      <xdr:colOff>36414</xdr:colOff>
      <xdr:row>44</xdr:row>
      <xdr:rowOff>23893</xdr:rowOff>
    </xdr:from>
    <xdr:to>
      <xdr:col>0</xdr:col>
      <xdr:colOff>540414</xdr:colOff>
      <xdr:row>44</xdr:row>
      <xdr:rowOff>527333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14" y="10871187"/>
          <a:ext cx="504000" cy="50344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47622</xdr:colOff>
      <xdr:row>42</xdr:row>
      <xdr:rowOff>19047</xdr:rowOff>
    </xdr:from>
    <xdr:to>
      <xdr:col>1</xdr:col>
      <xdr:colOff>2534</xdr:colOff>
      <xdr:row>42</xdr:row>
      <xdr:rowOff>522486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2" y="9252694"/>
          <a:ext cx="504000" cy="503439"/>
        </a:xfrm>
        <a:prstGeom prst="rect">
          <a:avLst/>
        </a:prstGeom>
      </xdr:spPr>
    </xdr:pic>
    <xdr:clientData/>
  </xdr:twoCellAnchor>
  <xdr:twoCellAnchor editAs="oneCell">
    <xdr:from>
      <xdr:col>0</xdr:col>
      <xdr:colOff>34737</xdr:colOff>
      <xdr:row>43</xdr:row>
      <xdr:rowOff>16853</xdr:rowOff>
    </xdr:from>
    <xdr:to>
      <xdr:col>0</xdr:col>
      <xdr:colOff>538737</xdr:colOff>
      <xdr:row>43</xdr:row>
      <xdr:rowOff>520293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737" y="11402029"/>
          <a:ext cx="504000" cy="50344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70</xdr:row>
      <xdr:rowOff>27858</xdr:rowOff>
    </xdr:from>
    <xdr:to>
      <xdr:col>0</xdr:col>
      <xdr:colOff>542100</xdr:colOff>
      <xdr:row>71</xdr:row>
      <xdr:rowOff>2692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6294446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36419</xdr:colOff>
      <xdr:row>65</xdr:row>
      <xdr:rowOff>27139</xdr:rowOff>
    </xdr:from>
    <xdr:to>
      <xdr:col>0</xdr:col>
      <xdr:colOff>540419</xdr:colOff>
      <xdr:row>66</xdr:row>
      <xdr:rowOff>1972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19" y="20377021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39388</xdr:colOff>
      <xdr:row>69</xdr:row>
      <xdr:rowOff>25383</xdr:rowOff>
    </xdr:from>
    <xdr:to>
      <xdr:col>0</xdr:col>
      <xdr:colOff>543388</xdr:colOff>
      <xdr:row>70</xdr:row>
      <xdr:rowOff>216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88" y="24386971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38669</xdr:colOff>
      <xdr:row>71</xdr:row>
      <xdr:rowOff>22983</xdr:rowOff>
    </xdr:from>
    <xdr:to>
      <xdr:col>0</xdr:col>
      <xdr:colOff>542669</xdr:colOff>
      <xdr:row>71</xdr:row>
      <xdr:rowOff>526983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69" y="26827454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36419</xdr:colOff>
      <xdr:row>61</xdr:row>
      <xdr:rowOff>22412</xdr:rowOff>
    </xdr:from>
    <xdr:to>
      <xdr:col>0</xdr:col>
      <xdr:colOff>540419</xdr:colOff>
      <xdr:row>61</xdr:row>
      <xdr:rowOff>526412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19" y="1929653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45944</xdr:colOff>
      <xdr:row>67</xdr:row>
      <xdr:rowOff>19052</xdr:rowOff>
    </xdr:from>
    <xdr:to>
      <xdr:col>1</xdr:col>
      <xdr:colOff>856</xdr:colOff>
      <xdr:row>67</xdr:row>
      <xdr:rowOff>523052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" y="22520464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36419</xdr:colOff>
      <xdr:row>66</xdr:row>
      <xdr:rowOff>20733</xdr:rowOff>
    </xdr:from>
    <xdr:to>
      <xdr:col>0</xdr:col>
      <xdr:colOff>540419</xdr:colOff>
      <xdr:row>66</xdr:row>
      <xdr:rowOff>524733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19" y="21984262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36419</xdr:colOff>
      <xdr:row>68</xdr:row>
      <xdr:rowOff>20733</xdr:rowOff>
    </xdr:from>
    <xdr:to>
      <xdr:col>0</xdr:col>
      <xdr:colOff>540419</xdr:colOff>
      <xdr:row>68</xdr:row>
      <xdr:rowOff>524733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19" y="23060027"/>
          <a:ext cx="504000" cy="504000"/>
        </a:xfrm>
        <a:prstGeom prst="rect">
          <a:avLst/>
        </a:prstGeom>
      </xdr:spPr>
    </xdr:pic>
    <xdr:clientData/>
  </xdr:twoCellAnchor>
  <xdr:oneCellAnchor>
    <xdr:from>
      <xdr:col>0</xdr:col>
      <xdr:colOff>47624</xdr:colOff>
      <xdr:row>40</xdr:row>
      <xdr:rowOff>33618</xdr:rowOff>
    </xdr:from>
    <xdr:ext cx="504000" cy="505681"/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6600265"/>
          <a:ext cx="504000" cy="505681"/>
        </a:xfrm>
        <a:prstGeom prst="rect">
          <a:avLst/>
        </a:prstGeom>
      </xdr:spPr>
    </xdr:pic>
    <xdr:clientData/>
  </xdr:oneCellAnchor>
  <xdr:oneCellAnchor>
    <xdr:from>
      <xdr:col>0</xdr:col>
      <xdr:colOff>47626</xdr:colOff>
      <xdr:row>41</xdr:row>
      <xdr:rowOff>33618</xdr:rowOff>
    </xdr:from>
    <xdr:ext cx="504000" cy="504000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626" y="20092147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33618</xdr:colOff>
      <xdr:row>64</xdr:row>
      <xdr:rowOff>11206</xdr:rowOff>
    </xdr:from>
    <xdr:ext cx="504000" cy="504000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3618" y="29527500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33618</xdr:colOff>
      <xdr:row>63</xdr:row>
      <xdr:rowOff>22412</xdr:rowOff>
    </xdr:from>
    <xdr:to>
      <xdr:col>0</xdr:col>
      <xdr:colOff>537618</xdr:colOff>
      <xdr:row>63</xdr:row>
      <xdr:rowOff>526412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618" y="29549912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62</xdr:row>
      <xdr:rowOff>22412</xdr:rowOff>
    </xdr:from>
    <xdr:to>
      <xdr:col>0</xdr:col>
      <xdr:colOff>529772</xdr:colOff>
      <xdr:row>62</xdr:row>
      <xdr:rowOff>526412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412" y="29012030"/>
          <a:ext cx="50736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58</xdr:row>
      <xdr:rowOff>381002</xdr:rowOff>
    </xdr:from>
    <xdr:to>
      <xdr:col>0</xdr:col>
      <xdr:colOff>548824</xdr:colOff>
      <xdr:row>59</xdr:row>
      <xdr:rowOff>145413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4" y="28832737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268111</xdr:colOff>
      <xdr:row>1</xdr:row>
      <xdr:rowOff>112888</xdr:rowOff>
    </xdr:from>
    <xdr:to>
      <xdr:col>2</xdr:col>
      <xdr:colOff>155223</xdr:colOff>
      <xdr:row>1</xdr:row>
      <xdr:rowOff>717441</xdr:rowOff>
    </xdr:to>
    <xdr:pic>
      <xdr:nvPicPr>
        <xdr:cNvPr id="4" name="Изображение 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68111" y="366888"/>
          <a:ext cx="2469445" cy="6045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52</xdr:row>
      <xdr:rowOff>26175</xdr:rowOff>
    </xdr:from>
    <xdr:to>
      <xdr:col>0</xdr:col>
      <xdr:colOff>542100</xdr:colOff>
      <xdr:row>52</xdr:row>
      <xdr:rowOff>530175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56579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47</xdr:row>
      <xdr:rowOff>14250</xdr:rowOff>
    </xdr:from>
    <xdr:to>
      <xdr:col>0</xdr:col>
      <xdr:colOff>551625</xdr:colOff>
      <xdr:row>47</xdr:row>
      <xdr:rowOff>518250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8456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61800</xdr:colOff>
      <xdr:row>51</xdr:row>
      <xdr:rowOff>23700</xdr:rowOff>
    </xdr:from>
    <xdr:to>
      <xdr:col>1</xdr:col>
      <xdr:colOff>5506</xdr:colOff>
      <xdr:row>51</xdr:row>
      <xdr:rowOff>527700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00" y="251220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49875</xdr:colOff>
      <xdr:row>53</xdr:row>
      <xdr:rowOff>21300</xdr:rowOff>
    </xdr:from>
    <xdr:to>
      <xdr:col>0</xdr:col>
      <xdr:colOff>553875</xdr:colOff>
      <xdr:row>53</xdr:row>
      <xdr:rowOff>525300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" y="261864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43</xdr:row>
      <xdr:rowOff>9525</xdr:rowOff>
    </xdr:from>
    <xdr:to>
      <xdr:col>0</xdr:col>
      <xdr:colOff>551625</xdr:colOff>
      <xdr:row>43</xdr:row>
      <xdr:rowOff>513525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53540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37</xdr:row>
      <xdr:rowOff>63873</xdr:rowOff>
    </xdr:from>
    <xdr:to>
      <xdr:col>1</xdr:col>
      <xdr:colOff>856</xdr:colOff>
      <xdr:row>38</xdr:row>
      <xdr:rowOff>478226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950638"/>
          <a:ext cx="504000" cy="50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1473200</xdr:colOff>
          <xdr:row>1</xdr:row>
          <xdr:rowOff>63500</xdr:rowOff>
        </xdr:from>
        <xdr:to>
          <xdr:col>3</xdr:col>
          <xdr:colOff>939800</xdr:colOff>
          <xdr:row>1</xdr:row>
          <xdr:rowOff>355600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47622</xdr:colOff>
      <xdr:row>34</xdr:row>
      <xdr:rowOff>22340</xdr:rowOff>
    </xdr:from>
    <xdr:to>
      <xdr:col>0</xdr:col>
      <xdr:colOff>551622</xdr:colOff>
      <xdr:row>35</xdr:row>
      <xdr:rowOff>21516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2" y="19307664"/>
          <a:ext cx="504000" cy="503440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</xdr:colOff>
      <xdr:row>35</xdr:row>
      <xdr:rowOff>87699</xdr:rowOff>
    </xdr:from>
    <xdr:to>
      <xdr:col>0</xdr:col>
      <xdr:colOff>554426</xdr:colOff>
      <xdr:row>36</xdr:row>
      <xdr:rowOff>501491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" y="17658523"/>
          <a:ext cx="504000" cy="50343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23</xdr:row>
      <xdr:rowOff>190500</xdr:rowOff>
    </xdr:from>
    <xdr:to>
      <xdr:col>0</xdr:col>
      <xdr:colOff>551625</xdr:colOff>
      <xdr:row>24</xdr:row>
      <xdr:rowOff>494475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30630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47623</xdr:colOff>
      <xdr:row>32</xdr:row>
      <xdr:rowOff>23899</xdr:rowOff>
    </xdr:from>
    <xdr:to>
      <xdr:col>0</xdr:col>
      <xdr:colOff>551623</xdr:colOff>
      <xdr:row>33</xdr:row>
      <xdr:rowOff>23074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3" y="15883024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28</xdr:row>
      <xdr:rowOff>19050</xdr:rowOff>
    </xdr:from>
    <xdr:to>
      <xdr:col>0</xdr:col>
      <xdr:colOff>551625</xdr:colOff>
      <xdr:row>29</xdr:row>
      <xdr:rowOff>18224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6970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30</xdr:row>
      <xdr:rowOff>28065</xdr:rowOff>
    </xdr:from>
    <xdr:to>
      <xdr:col>1</xdr:col>
      <xdr:colOff>856</xdr:colOff>
      <xdr:row>31</xdr:row>
      <xdr:rowOff>27240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7150" y="1647774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49</xdr:row>
      <xdr:rowOff>28575</xdr:rowOff>
    </xdr:from>
    <xdr:to>
      <xdr:col>1</xdr:col>
      <xdr:colOff>856</xdr:colOff>
      <xdr:row>49</xdr:row>
      <xdr:rowOff>532575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24599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48</xdr:row>
      <xdr:rowOff>19050</xdr:rowOff>
    </xdr:from>
    <xdr:to>
      <xdr:col>0</xdr:col>
      <xdr:colOff>551625</xdr:colOff>
      <xdr:row>48</xdr:row>
      <xdr:rowOff>523050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625" y="2191702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50</xdr:row>
      <xdr:rowOff>19050</xdr:rowOff>
    </xdr:from>
    <xdr:to>
      <xdr:col>0</xdr:col>
      <xdr:colOff>551625</xdr:colOff>
      <xdr:row>50</xdr:row>
      <xdr:rowOff>523050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983825"/>
          <a:ext cx="504000" cy="50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1</xdr:row>
          <xdr:rowOff>38100</xdr:rowOff>
        </xdr:from>
        <xdr:to>
          <xdr:col>8</xdr:col>
          <xdr:colOff>787400</xdr:colOff>
          <xdr:row>1</xdr:row>
          <xdr:rowOff>355600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0</xdr:col>
      <xdr:colOff>56030</xdr:colOff>
      <xdr:row>26</xdr:row>
      <xdr:rowOff>0</xdr:rowOff>
    </xdr:from>
    <xdr:ext cx="504000" cy="504000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030" y="10925735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56030</xdr:colOff>
      <xdr:row>42</xdr:row>
      <xdr:rowOff>11206</xdr:rowOff>
    </xdr:from>
    <xdr:ext cx="479937" cy="504000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30" y="15553765"/>
          <a:ext cx="479937" cy="504000"/>
        </a:xfrm>
        <a:prstGeom prst="rect">
          <a:avLst/>
        </a:prstGeom>
      </xdr:spPr>
    </xdr:pic>
    <xdr:clientData/>
  </xdr:oneCellAnchor>
  <xdr:oneCellAnchor>
    <xdr:from>
      <xdr:col>0</xdr:col>
      <xdr:colOff>56030</xdr:colOff>
      <xdr:row>46</xdr:row>
      <xdr:rowOff>22412</xdr:rowOff>
    </xdr:from>
    <xdr:ext cx="504000" cy="504000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030" y="17178618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44824</xdr:colOff>
      <xdr:row>45</xdr:row>
      <xdr:rowOff>22411</xdr:rowOff>
    </xdr:from>
    <xdr:to>
      <xdr:col>0</xdr:col>
      <xdr:colOff>548824</xdr:colOff>
      <xdr:row>45</xdr:row>
      <xdr:rowOff>526411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4824" y="18725029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44</xdr:row>
      <xdr:rowOff>22412</xdr:rowOff>
    </xdr:from>
    <xdr:to>
      <xdr:col>0</xdr:col>
      <xdr:colOff>540978</xdr:colOff>
      <xdr:row>44</xdr:row>
      <xdr:rowOff>526412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3618" y="18187147"/>
          <a:ext cx="50736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0</xdr:row>
      <xdr:rowOff>313765</xdr:rowOff>
    </xdr:from>
    <xdr:to>
      <xdr:col>2</xdr:col>
      <xdr:colOff>562625</xdr:colOff>
      <xdr:row>0</xdr:row>
      <xdr:rowOff>1033093</xdr:rowOff>
    </xdr:to>
    <xdr:pic>
      <xdr:nvPicPr>
        <xdr:cNvPr id="2" name="Изображение 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4471" y="313765"/>
          <a:ext cx="2938272" cy="7193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xmobiles/Library/Containers/com.microsoft.Excel/Data/Documents/C:/Users/Fmanager/AppData/Local/Temp/Rar$DI00.349/Documents%20and%20Settings/&#1052;&#1072;&#1088;&#1075;&#1086;/&#1056;&#1072;&#1073;&#1086;&#1095;&#1080;&#1081;%20&#1089;&#1090;&#1086;&#1083;/5.%20&#1058;&#1069;&#105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xmobiles/Library/Containers/com.microsoft.Excel/Data/Documents/C:/Users/Fmanager/AppData/Local/Temp/Rar$DI00.349/DOCUME~1/ZaziOne/LOCALS~1/Temp/bat/&#1056;&#1072;&#1089;&#1095;&#1077;&#1090;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xmobiles/Library/Containers/com.microsoft.Excel/Data/Documents/ZAZIPC/Exchange/_&#1071;&#1085;&#1072;/&#1056;&#1052;C%20&#1040;&#1074;&#1090;&#1086;/&#1060;&#1080;&#1085;&#1072;&#1085;&#1089;&#1086;&#1074;&#1072;&#1103;%20&#1084;&#1086;&#1076;&#1077;&#1083;&#1100;%20&#1092;&#1088;&#1072;&#1085;&#1096;&#1080;&#1079;&#1099;%20RMSAuto%2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ции"/>
      <sheetName val="Проект"/>
      <sheetName val="Анализ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Исходные данные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4" Type="http://schemas.openxmlformats.org/officeDocument/2006/relationships/ctrlProp" Target="../ctrlProps/ctrlProp2.xml"/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showGridLines="0" zoomScale="90" zoomScaleNormal="90" zoomScaleSheetLayoutView="85" zoomScalePageLayoutView="90" workbookViewId="0">
      <pane ySplit="1" topLeftCell="A2" activePane="bottomLeft" state="frozen"/>
      <selection pane="bottomLeft" activeCell="N8" sqref="N8"/>
    </sheetView>
  </sheetViews>
  <sheetFormatPr baseColWidth="10" defaultColWidth="8.83203125" defaultRowHeight="15" x14ac:dyDescent="0.2"/>
  <cols>
    <col min="1" max="1" width="8.33203125" customWidth="1"/>
    <col min="2" max="2" width="25.5" customWidth="1"/>
    <col min="3" max="3" width="21.5" customWidth="1"/>
    <col min="4" max="4" width="17.5" customWidth="1"/>
    <col min="5" max="5" width="20" customWidth="1"/>
    <col min="6" max="6" width="18.6640625" customWidth="1"/>
    <col min="7" max="7" width="20.6640625" customWidth="1"/>
    <col min="8" max="8" width="19.5" customWidth="1"/>
    <col min="9" max="9" width="10.83203125" customWidth="1"/>
    <col min="10" max="10" width="14" bestFit="1" customWidth="1"/>
    <col min="11" max="11" width="11.83203125" customWidth="1"/>
    <col min="12" max="13" width="9.1640625" customWidth="1"/>
  </cols>
  <sheetData>
    <row r="1" spans="1:14" ht="21" x14ac:dyDescent="0.25">
      <c r="A1" s="309" t="s">
        <v>8</v>
      </c>
      <c r="B1" s="309"/>
      <c r="C1" s="309"/>
      <c r="D1" s="309"/>
      <c r="E1" s="309"/>
      <c r="F1" s="309"/>
      <c r="G1" s="309"/>
      <c r="H1" s="309"/>
      <c r="I1" s="309"/>
      <c r="J1" s="309"/>
      <c r="K1" s="107"/>
    </row>
    <row r="2" spans="1:14" ht="68.25" customHeight="1" x14ac:dyDescent="0.2">
      <c r="A2" s="285" t="s">
        <v>175</v>
      </c>
      <c r="B2" s="286"/>
      <c r="C2" s="286"/>
      <c r="D2" s="286"/>
      <c r="E2" s="286"/>
      <c r="F2" s="286"/>
      <c r="G2" s="286"/>
      <c r="H2" s="286"/>
      <c r="I2" s="286"/>
      <c r="J2" s="286"/>
      <c r="K2" s="105"/>
    </row>
    <row r="3" spans="1:14" ht="37" x14ac:dyDescent="0.2">
      <c r="A3" s="102" t="s">
        <v>81</v>
      </c>
      <c r="B3" s="176"/>
      <c r="C3" s="176"/>
      <c r="D3" s="310" t="s">
        <v>160</v>
      </c>
      <c r="E3" s="310"/>
      <c r="F3" s="310" t="s">
        <v>161</v>
      </c>
      <c r="G3" s="310"/>
      <c r="H3" s="311" t="s">
        <v>162</v>
      </c>
      <c r="I3" s="311"/>
      <c r="J3" s="311"/>
      <c r="K3" s="105"/>
    </row>
    <row r="4" spans="1:14" s="180" customFormat="1" ht="21" x14ac:dyDescent="0.25">
      <c r="B4" s="178"/>
      <c r="C4" s="178"/>
      <c r="D4" s="178"/>
      <c r="E4" s="178"/>
      <c r="F4" s="178"/>
      <c r="G4" s="178"/>
      <c r="H4" s="178"/>
      <c r="I4" s="179"/>
      <c r="J4" s="179"/>
      <c r="K4" s="179"/>
    </row>
    <row r="5" spans="1:14" ht="26" x14ac:dyDescent="0.2">
      <c r="A5" s="102" t="s">
        <v>109</v>
      </c>
    </row>
    <row r="6" spans="1:14" s="1" customFormat="1" ht="37.5" customHeight="1" x14ac:dyDescent="0.2">
      <c r="A6" s="312"/>
      <c r="B6" s="312"/>
      <c r="C6" s="313"/>
      <c r="D6" s="379" t="str">
        <f>"для формата "&amp;D3&amp;""</f>
        <v>для формата Ломбард</v>
      </c>
      <c r="E6" s="379"/>
      <c r="F6" s="379" t="str">
        <f>"для формата "&amp;F3&amp;""</f>
        <v>для формата Стандарт</v>
      </c>
      <c r="G6" s="379"/>
      <c r="H6" s="379" t="str">
        <f>"для формата "&amp;H3&amp;""</f>
        <v>для формата Бизнес под ключ</v>
      </c>
      <c r="I6" s="379"/>
      <c r="J6" s="379"/>
      <c r="K6" s="104"/>
      <c r="N6" s="97"/>
    </row>
    <row r="7" spans="1:14" s="1" customFormat="1" ht="26" x14ac:dyDescent="0.2">
      <c r="A7" s="226" t="s">
        <v>90</v>
      </c>
      <c r="B7" s="191"/>
      <c r="C7" s="191"/>
      <c r="D7" s="231"/>
      <c r="E7" s="231"/>
      <c r="F7" s="231"/>
      <c r="G7" s="231"/>
      <c r="H7" s="231"/>
      <c r="I7" s="231"/>
      <c r="J7" s="231"/>
      <c r="K7" s="104"/>
      <c r="N7" s="97"/>
    </row>
    <row r="8" spans="1:14" ht="42" customHeight="1" x14ac:dyDescent="0.2">
      <c r="A8" s="287" t="s">
        <v>82</v>
      </c>
      <c r="B8" s="287"/>
      <c r="C8" s="288"/>
      <c r="D8" s="303">
        <v>1000000</v>
      </c>
      <c r="E8" s="303"/>
      <c r="F8" s="303">
        <v>1500000</v>
      </c>
      <c r="G8" s="303"/>
      <c r="H8" s="303">
        <v>2000000</v>
      </c>
      <c r="I8" s="303"/>
      <c r="J8" s="303"/>
      <c r="K8" s="103"/>
      <c r="N8" s="98"/>
    </row>
    <row r="9" spans="1:14" ht="42" customHeight="1" x14ac:dyDescent="0.2">
      <c r="A9" s="287" t="s">
        <v>83</v>
      </c>
      <c r="B9" s="287"/>
      <c r="C9" s="288"/>
      <c r="D9" s="303">
        <v>30</v>
      </c>
      <c r="E9" s="303"/>
      <c r="F9" s="303">
        <v>30</v>
      </c>
      <c r="G9" s="303"/>
      <c r="H9" s="303">
        <v>30</v>
      </c>
      <c r="I9" s="303"/>
      <c r="J9" s="303"/>
      <c r="K9" s="103"/>
      <c r="N9" s="98"/>
    </row>
    <row r="10" spans="1:14" ht="42" customHeight="1" x14ac:dyDescent="0.2">
      <c r="A10" s="287" t="s">
        <v>84</v>
      </c>
      <c r="B10" s="287"/>
      <c r="C10" s="288"/>
      <c r="D10" s="293">
        <v>3.3E-3</v>
      </c>
      <c r="E10" s="293"/>
      <c r="F10" s="293">
        <v>3.3E-3</v>
      </c>
      <c r="G10" s="293"/>
      <c r="H10" s="293">
        <v>3.3E-3</v>
      </c>
      <c r="I10" s="293"/>
      <c r="J10" s="293"/>
      <c r="K10" s="103"/>
      <c r="N10" s="98"/>
    </row>
    <row r="11" spans="1:14" ht="26" x14ac:dyDescent="0.2">
      <c r="A11" s="226" t="s">
        <v>91</v>
      </c>
      <c r="B11" s="191"/>
      <c r="C11" s="191"/>
      <c r="D11" s="231"/>
      <c r="E11" s="231"/>
      <c r="F11" s="231"/>
      <c r="G11" s="231"/>
      <c r="H11" s="231"/>
      <c r="I11" s="231"/>
      <c r="J11" s="231"/>
      <c r="K11" s="103"/>
      <c r="N11" s="98"/>
    </row>
    <row r="12" spans="1:14" ht="42" customHeight="1" x14ac:dyDescent="0.2">
      <c r="A12" s="287" t="s">
        <v>85</v>
      </c>
      <c r="B12" s="287"/>
      <c r="C12" s="288"/>
      <c r="D12" s="293"/>
      <c r="E12" s="293"/>
      <c r="F12" s="308"/>
      <c r="G12" s="308"/>
      <c r="H12" s="293"/>
      <c r="I12" s="293"/>
      <c r="J12" s="293"/>
      <c r="K12" s="103"/>
      <c r="N12" s="98"/>
    </row>
    <row r="13" spans="1:14" ht="26" x14ac:dyDescent="0.2">
      <c r="A13" s="226" t="s">
        <v>92</v>
      </c>
      <c r="B13" s="191"/>
      <c r="C13" s="191"/>
      <c r="D13" s="231"/>
      <c r="E13" s="231"/>
      <c r="F13" s="231"/>
      <c r="G13" s="231"/>
      <c r="H13" s="231"/>
      <c r="I13" s="231"/>
      <c r="J13" s="231"/>
      <c r="K13" s="103"/>
      <c r="N13" s="98"/>
    </row>
    <row r="14" spans="1:14" ht="42" customHeight="1" x14ac:dyDescent="0.2">
      <c r="A14" s="287" t="s">
        <v>86</v>
      </c>
      <c r="B14" s="287"/>
      <c r="C14" s="288"/>
      <c r="D14" s="293">
        <v>0.02</v>
      </c>
      <c r="E14" s="293"/>
      <c r="F14" s="293">
        <v>0.02</v>
      </c>
      <c r="G14" s="293"/>
      <c r="H14" s="293">
        <v>0.02</v>
      </c>
      <c r="I14" s="293"/>
      <c r="J14" s="293"/>
      <c r="K14" s="103"/>
      <c r="N14" s="98"/>
    </row>
    <row r="15" spans="1:14" ht="42" customHeight="1" x14ac:dyDescent="0.2">
      <c r="A15" s="287" t="s">
        <v>87</v>
      </c>
      <c r="B15" s="287"/>
      <c r="C15" s="288"/>
      <c r="D15" s="289">
        <v>0.4</v>
      </c>
      <c r="E15" s="289"/>
      <c r="F15" s="289">
        <v>0.4</v>
      </c>
      <c r="G15" s="289"/>
      <c r="H15" s="289">
        <v>0.4</v>
      </c>
      <c r="I15" s="289"/>
      <c r="J15" s="289"/>
      <c r="K15" s="103"/>
      <c r="N15" s="98"/>
    </row>
    <row r="16" spans="1:14" ht="42" customHeight="1" x14ac:dyDescent="0.2">
      <c r="A16" s="287" t="s">
        <v>94</v>
      </c>
      <c r="B16" s="287"/>
      <c r="C16" s="288"/>
      <c r="D16" s="289">
        <v>0.2</v>
      </c>
      <c r="E16" s="289"/>
      <c r="F16" s="289">
        <v>0.2</v>
      </c>
      <c r="G16" s="289"/>
      <c r="H16" s="289">
        <v>0.2</v>
      </c>
      <c r="I16" s="289"/>
      <c r="J16" s="289"/>
      <c r="K16" s="103"/>
      <c r="N16" s="98"/>
    </row>
    <row r="17" spans="1:14" ht="42" customHeight="1" x14ac:dyDescent="0.2">
      <c r="A17" s="287" t="s">
        <v>95</v>
      </c>
      <c r="B17" s="287"/>
      <c r="C17" s="288"/>
      <c r="D17" s="303">
        <v>15</v>
      </c>
      <c r="E17" s="303"/>
      <c r="F17" s="303">
        <v>15</v>
      </c>
      <c r="G17" s="303"/>
      <c r="H17" s="303">
        <v>15</v>
      </c>
      <c r="I17" s="303"/>
      <c r="J17" s="303"/>
      <c r="K17" s="103"/>
      <c r="N17" s="98"/>
    </row>
    <row r="18" spans="1:14" ht="26" x14ac:dyDescent="0.2">
      <c r="A18" s="226" t="s">
        <v>93</v>
      </c>
      <c r="B18" s="191"/>
      <c r="C18" s="191"/>
      <c r="D18" s="231"/>
      <c r="E18" s="231"/>
      <c r="F18" s="231"/>
      <c r="G18" s="231"/>
      <c r="H18" s="231"/>
      <c r="I18" s="231"/>
      <c r="J18" s="231"/>
      <c r="K18" s="103"/>
      <c r="N18" s="98"/>
    </row>
    <row r="19" spans="1:14" ht="42" customHeight="1" x14ac:dyDescent="0.2">
      <c r="A19" s="287" t="s">
        <v>88</v>
      </c>
      <c r="B19" s="287"/>
      <c r="C19" s="288"/>
      <c r="D19" s="289">
        <v>0.2</v>
      </c>
      <c r="E19" s="289"/>
      <c r="F19" s="289">
        <v>0.2</v>
      </c>
      <c r="G19" s="289"/>
      <c r="H19" s="289">
        <v>0.2</v>
      </c>
      <c r="I19" s="289"/>
      <c r="J19" s="289"/>
      <c r="K19" s="103"/>
      <c r="N19" s="98"/>
    </row>
    <row r="20" spans="1:14" ht="42" customHeight="1" x14ac:dyDescent="0.2">
      <c r="A20" s="287" t="s">
        <v>89</v>
      </c>
      <c r="B20" s="287"/>
      <c r="C20" s="288"/>
      <c r="D20" s="303">
        <v>60</v>
      </c>
      <c r="E20" s="303"/>
      <c r="F20" s="303">
        <v>60</v>
      </c>
      <c r="G20" s="303"/>
      <c r="H20" s="303">
        <v>60</v>
      </c>
      <c r="I20" s="303"/>
      <c r="J20" s="303"/>
      <c r="K20" s="103"/>
      <c r="N20" s="98"/>
    </row>
    <row r="21" spans="1:14" ht="26" x14ac:dyDescent="0.2">
      <c r="A21" s="226" t="s">
        <v>122</v>
      </c>
      <c r="B21" s="191"/>
      <c r="C21" s="191"/>
      <c r="D21" s="231"/>
      <c r="E21" s="231"/>
      <c r="F21" s="231"/>
      <c r="G21" s="231"/>
      <c r="H21" s="231"/>
      <c r="I21" s="231"/>
      <c r="J21" s="231"/>
      <c r="K21" s="103"/>
      <c r="N21" s="98"/>
    </row>
    <row r="22" spans="1:14" ht="63.75" customHeight="1" x14ac:dyDescent="0.2">
      <c r="A22" s="287" t="s">
        <v>123</v>
      </c>
      <c r="B22" s="287"/>
      <c r="C22" s="288"/>
      <c r="D22" s="289">
        <v>0.2</v>
      </c>
      <c r="E22" s="289"/>
      <c r="F22" s="289">
        <v>0.2</v>
      </c>
      <c r="G22" s="289"/>
      <c r="H22" s="289">
        <v>0.2</v>
      </c>
      <c r="I22" s="289"/>
      <c r="J22" s="289"/>
      <c r="K22" s="103"/>
      <c r="N22" s="98"/>
    </row>
    <row r="23" spans="1:14" s="181" customFormat="1" ht="27" thickBot="1" x14ac:dyDescent="0.25">
      <c r="A23" s="232"/>
      <c r="B23" s="232"/>
      <c r="C23" s="232"/>
      <c r="D23" s="233"/>
      <c r="E23" s="233"/>
      <c r="F23" s="233"/>
      <c r="G23" s="233"/>
      <c r="H23" s="233"/>
      <c r="I23" s="233"/>
      <c r="J23" s="233"/>
      <c r="K23" s="103"/>
      <c r="N23" s="192"/>
    </row>
    <row r="24" spans="1:14" ht="84" customHeight="1" x14ac:dyDescent="0.2">
      <c r="A24" s="316" t="s">
        <v>124</v>
      </c>
      <c r="B24" s="317"/>
      <c r="C24" s="318"/>
      <c r="D24" s="304">
        <f>D15+D16+D19+D22</f>
        <v>1</v>
      </c>
      <c r="E24" s="304"/>
      <c r="F24" s="304">
        <f>F15+F16+F19+F22</f>
        <v>1</v>
      </c>
      <c r="G24" s="304"/>
      <c r="H24" s="305">
        <f>H15+H16+H19+H22</f>
        <v>1</v>
      </c>
      <c r="I24" s="306"/>
      <c r="J24" s="307"/>
      <c r="K24" s="103"/>
      <c r="N24" s="98"/>
    </row>
    <row r="25" spans="1:14" ht="26.25" customHeight="1" thickBot="1" x14ac:dyDescent="0.25">
      <c r="A25" s="321" t="s">
        <v>159</v>
      </c>
      <c r="B25" s="322"/>
      <c r="C25" s="322"/>
      <c r="D25" s="322"/>
      <c r="E25" s="322"/>
      <c r="F25" s="322"/>
      <c r="G25" s="322"/>
      <c r="H25" s="322"/>
      <c r="I25" s="322"/>
      <c r="J25" s="323"/>
      <c r="K25" s="103"/>
      <c r="N25" s="98"/>
    </row>
    <row r="26" spans="1:14" ht="41.25" customHeight="1" x14ac:dyDescent="0.2">
      <c r="A26" s="226" t="s">
        <v>107</v>
      </c>
      <c r="B26" s="191"/>
      <c r="C26" s="191"/>
      <c r="D26" s="231"/>
      <c r="E26" s="231"/>
      <c r="F26" s="231"/>
      <c r="G26" s="231"/>
      <c r="H26" s="231"/>
      <c r="I26" s="231"/>
      <c r="J26" s="231"/>
      <c r="K26" s="103"/>
      <c r="N26" s="98"/>
    </row>
    <row r="27" spans="1:14" s="191" customFormat="1" ht="26" x14ac:dyDescent="0.2">
      <c r="A27" s="226" t="s">
        <v>96</v>
      </c>
    </row>
    <row r="28" spans="1:14" ht="66.75" customHeight="1" x14ac:dyDescent="0.2">
      <c r="A28" s="287" t="s">
        <v>166</v>
      </c>
      <c r="B28" s="287"/>
      <c r="C28" s="288"/>
      <c r="D28" s="289">
        <v>0.6</v>
      </c>
      <c r="E28" s="289"/>
      <c r="F28" s="289">
        <v>0.6</v>
      </c>
      <c r="G28" s="289"/>
      <c r="H28" s="289">
        <v>0.6</v>
      </c>
      <c r="I28" s="289"/>
      <c r="J28" s="289"/>
      <c r="K28" s="103"/>
      <c r="N28" s="98"/>
    </row>
    <row r="29" spans="1:14" ht="66.75" customHeight="1" x14ac:dyDescent="0.2">
      <c r="A29" s="287" t="s">
        <v>167</v>
      </c>
      <c r="B29" s="287"/>
      <c r="C29" s="288"/>
      <c r="D29" s="289">
        <v>0.6</v>
      </c>
      <c r="E29" s="289"/>
      <c r="F29" s="289">
        <v>0.6</v>
      </c>
      <c r="G29" s="289"/>
      <c r="H29" s="289">
        <v>0.6</v>
      </c>
      <c r="I29" s="289"/>
      <c r="J29" s="289"/>
      <c r="K29" s="103"/>
      <c r="N29" s="98"/>
    </row>
    <row r="30" spans="1:14" ht="66.75" customHeight="1" x14ac:dyDescent="0.2">
      <c r="A30" s="287" t="s">
        <v>168</v>
      </c>
      <c r="B30" s="287"/>
      <c r="C30" s="288"/>
      <c r="D30" s="289">
        <v>0.6</v>
      </c>
      <c r="E30" s="289"/>
      <c r="F30" s="289">
        <v>0.6</v>
      </c>
      <c r="G30" s="289"/>
      <c r="H30" s="289">
        <v>0.6</v>
      </c>
      <c r="I30" s="289"/>
      <c r="J30" s="289"/>
      <c r="K30" s="103"/>
      <c r="N30" s="98"/>
    </row>
    <row r="31" spans="1:14" ht="66.75" customHeight="1" x14ac:dyDescent="0.2">
      <c r="A31" s="287" t="s">
        <v>169</v>
      </c>
      <c r="B31" s="287"/>
      <c r="C31" s="288"/>
      <c r="D31" s="289">
        <v>0.25</v>
      </c>
      <c r="E31" s="289"/>
      <c r="F31" s="289">
        <v>0.25</v>
      </c>
      <c r="G31" s="289"/>
      <c r="H31" s="289">
        <v>0.25</v>
      </c>
      <c r="I31" s="289"/>
      <c r="J31" s="289"/>
      <c r="K31" s="103"/>
      <c r="N31" s="98"/>
    </row>
    <row r="32" spans="1:14" ht="26.25" customHeight="1" x14ac:dyDescent="0.2">
      <c r="A32" s="226" t="s">
        <v>97</v>
      </c>
      <c r="B32" s="191"/>
      <c r="C32" s="191"/>
      <c r="D32" s="231"/>
      <c r="E32" s="231"/>
      <c r="F32" s="231"/>
      <c r="G32" s="231"/>
      <c r="H32" s="231"/>
      <c r="I32" s="231"/>
      <c r="J32" s="231"/>
      <c r="K32" s="103"/>
      <c r="N32" s="98"/>
    </row>
    <row r="33" spans="1:22" ht="42" customHeight="1" x14ac:dyDescent="0.2">
      <c r="A33" s="287" t="s">
        <v>170</v>
      </c>
      <c r="B33" s="287"/>
      <c r="C33" s="288"/>
      <c r="D33" s="289">
        <v>0.1</v>
      </c>
      <c r="E33" s="289"/>
      <c r="F33" s="289">
        <v>0.1</v>
      </c>
      <c r="G33" s="289"/>
      <c r="H33" s="289">
        <v>0.1</v>
      </c>
      <c r="I33" s="289"/>
      <c r="J33" s="289"/>
      <c r="K33" s="103"/>
      <c r="N33" s="98"/>
    </row>
    <row r="34" spans="1:22" ht="42" customHeight="1" x14ac:dyDescent="0.2">
      <c r="A34" s="287" t="s">
        <v>171</v>
      </c>
      <c r="B34" s="287"/>
      <c r="C34" s="288"/>
      <c r="D34" s="289">
        <v>0.7</v>
      </c>
      <c r="E34" s="289"/>
      <c r="F34" s="289">
        <v>0.7</v>
      </c>
      <c r="G34" s="289"/>
      <c r="H34" s="289">
        <v>0.7</v>
      </c>
      <c r="I34" s="289"/>
      <c r="J34" s="289"/>
      <c r="K34" s="103"/>
      <c r="N34" s="98"/>
    </row>
    <row r="35" spans="1:22" ht="42" customHeight="1" x14ac:dyDescent="0.2">
      <c r="A35" s="287" t="s">
        <v>172</v>
      </c>
      <c r="B35" s="287"/>
      <c r="C35" s="288"/>
      <c r="D35" s="289">
        <v>0.2</v>
      </c>
      <c r="E35" s="289"/>
      <c r="F35" s="289">
        <v>0.2</v>
      </c>
      <c r="G35" s="289"/>
      <c r="H35" s="289">
        <v>0.2</v>
      </c>
      <c r="I35" s="289"/>
      <c r="J35" s="289"/>
      <c r="K35" s="103"/>
      <c r="N35" s="98"/>
    </row>
    <row r="36" spans="1:22" ht="42" customHeight="1" x14ac:dyDescent="0.2">
      <c r="A36" s="287" t="s">
        <v>173</v>
      </c>
      <c r="B36" s="287"/>
      <c r="C36" s="288"/>
      <c r="D36" s="289">
        <v>0</v>
      </c>
      <c r="E36" s="289"/>
      <c r="F36" s="289">
        <v>0</v>
      </c>
      <c r="G36" s="289"/>
      <c r="H36" s="289">
        <v>0</v>
      </c>
      <c r="I36" s="289"/>
      <c r="J36" s="289"/>
      <c r="K36" s="103"/>
      <c r="N36" s="98"/>
    </row>
    <row r="37" spans="1:22" ht="42" customHeight="1" x14ac:dyDescent="0.2">
      <c r="A37" s="287"/>
      <c r="B37" s="287"/>
      <c r="C37" s="288"/>
      <c r="D37" s="299">
        <f>D33+D34+D35+D36</f>
        <v>1</v>
      </c>
      <c r="E37" s="299"/>
      <c r="F37" s="299">
        <f>F33+F34+F35+F36</f>
        <v>1</v>
      </c>
      <c r="G37" s="299"/>
      <c r="H37" s="300">
        <f>H33+H34+H35+H36</f>
        <v>1</v>
      </c>
      <c r="I37" s="301"/>
      <c r="J37" s="302"/>
      <c r="K37" s="103"/>
      <c r="N37" s="98"/>
    </row>
    <row r="38" spans="1:22" x14ac:dyDescent="0.2">
      <c r="A38" s="5"/>
      <c r="B38" s="5"/>
      <c r="C38" s="5"/>
      <c r="D38" s="5"/>
      <c r="E38" s="5"/>
      <c r="F38" s="5"/>
      <c r="G38" s="5"/>
      <c r="H38" s="5"/>
      <c r="I38" s="5"/>
      <c r="J38" s="5"/>
    </row>
    <row r="39" spans="1:22" ht="24.75" customHeight="1" x14ac:dyDescent="0.2">
      <c r="A39" s="102" t="s">
        <v>147</v>
      </c>
      <c r="G39" s="4"/>
      <c r="H39" s="4"/>
      <c r="I39" s="4"/>
    </row>
    <row r="40" spans="1:22" s="1" customFormat="1" ht="37.5" customHeight="1" x14ac:dyDescent="0.2">
      <c r="A40"/>
      <c r="B40" s="230"/>
      <c r="C40" s="230"/>
      <c r="D40" s="298" t="str">
        <f>D6</f>
        <v>для формата Ломбард</v>
      </c>
      <c r="E40" s="298"/>
      <c r="F40" s="298" t="str">
        <f>F6</f>
        <v>для формата Стандарт</v>
      </c>
      <c r="G40" s="298"/>
      <c r="H40" s="298" t="str">
        <f>H6</f>
        <v>для формата Бизнес под ключ</v>
      </c>
      <c r="I40" s="298"/>
      <c r="J40" s="162"/>
      <c r="K40" s="104"/>
      <c r="N40" s="97"/>
    </row>
    <row r="41" spans="1:22" ht="42" customHeight="1" x14ac:dyDescent="0.2">
      <c r="A41" s="110"/>
      <c r="B41" s="314" t="s">
        <v>165</v>
      </c>
      <c r="C41" s="315"/>
      <c r="D41" s="291">
        <v>20000</v>
      </c>
      <c r="E41" s="291"/>
      <c r="F41" s="291">
        <v>20000</v>
      </c>
      <c r="G41" s="291"/>
      <c r="H41" s="291">
        <v>40000</v>
      </c>
      <c r="I41" s="291"/>
      <c r="J41" s="256" t="s">
        <v>74</v>
      </c>
      <c r="K41" s="112"/>
      <c r="N41" s="111"/>
      <c r="O41" s="111"/>
      <c r="P41" s="111"/>
      <c r="Q41" s="111"/>
      <c r="R41" s="111"/>
      <c r="S41" s="111"/>
      <c r="T41" s="111"/>
      <c r="U41" s="111"/>
      <c r="V41" s="111"/>
    </row>
    <row r="42" spans="1:22" ht="42" customHeight="1" x14ac:dyDescent="0.2">
      <c r="A42" s="110"/>
      <c r="B42" s="314" t="s">
        <v>98</v>
      </c>
      <c r="C42" s="315"/>
      <c r="D42" s="291">
        <v>30000</v>
      </c>
      <c r="E42" s="291"/>
      <c r="F42" s="291">
        <v>30000</v>
      </c>
      <c r="G42" s="291"/>
      <c r="H42" s="291">
        <v>50000</v>
      </c>
      <c r="I42" s="291"/>
      <c r="J42" s="256" t="s">
        <v>74</v>
      </c>
      <c r="K42" s="112"/>
      <c r="N42" s="111"/>
      <c r="O42" s="111"/>
      <c r="P42" s="111"/>
      <c r="Q42" s="111"/>
      <c r="R42" s="111"/>
      <c r="S42" s="111"/>
      <c r="T42" s="111"/>
      <c r="U42" s="111"/>
      <c r="V42" s="111"/>
    </row>
    <row r="43" spans="1:22" ht="42" customHeight="1" x14ac:dyDescent="0.2">
      <c r="A43" s="110"/>
      <c r="B43" s="314" t="s">
        <v>99</v>
      </c>
      <c r="C43" s="315"/>
      <c r="D43" s="284">
        <v>25000</v>
      </c>
      <c r="E43" s="284"/>
      <c r="F43" s="284">
        <v>25000</v>
      </c>
      <c r="G43" s="284"/>
      <c r="H43" s="284">
        <v>50000</v>
      </c>
      <c r="I43" s="284"/>
      <c r="J43" s="256" t="s">
        <v>74</v>
      </c>
      <c r="K43" s="112"/>
      <c r="N43" s="111"/>
      <c r="O43" s="111"/>
      <c r="P43" s="111"/>
      <c r="Q43" s="111"/>
      <c r="R43" s="111"/>
      <c r="S43" s="111"/>
      <c r="T43" s="111"/>
      <c r="U43" s="111"/>
      <c r="V43" s="111"/>
    </row>
    <row r="44" spans="1:22" ht="42" customHeight="1" x14ac:dyDescent="0.2">
      <c r="A44" s="110"/>
      <c r="B44" s="314" t="s">
        <v>164</v>
      </c>
      <c r="C44" s="315"/>
      <c r="D44" s="284">
        <v>5000</v>
      </c>
      <c r="E44" s="284"/>
      <c r="F44" s="284">
        <v>5000</v>
      </c>
      <c r="G44" s="284"/>
      <c r="H44" s="284">
        <v>5000</v>
      </c>
      <c r="I44" s="284"/>
      <c r="J44" s="256" t="s">
        <v>74</v>
      </c>
      <c r="K44" s="112"/>
      <c r="N44" s="111"/>
      <c r="O44" s="111"/>
      <c r="P44" s="111"/>
      <c r="Q44" s="111"/>
      <c r="R44" s="111"/>
      <c r="S44" s="111"/>
      <c r="T44" s="111"/>
      <c r="U44" s="111"/>
      <c r="V44" s="111"/>
    </row>
    <row r="45" spans="1:22" ht="42" customHeight="1" x14ac:dyDescent="0.2">
      <c r="A45" s="110"/>
      <c r="B45" s="314" t="s">
        <v>25</v>
      </c>
      <c r="C45" s="315"/>
      <c r="D45" s="284">
        <v>10000</v>
      </c>
      <c r="E45" s="284"/>
      <c r="F45" s="284">
        <v>10000</v>
      </c>
      <c r="G45" s="284"/>
      <c r="H45" s="284">
        <v>20000</v>
      </c>
      <c r="I45" s="284"/>
      <c r="J45" s="256" t="s">
        <v>74</v>
      </c>
      <c r="K45" s="112"/>
      <c r="N45" s="111"/>
      <c r="O45" s="111"/>
      <c r="P45" s="111"/>
      <c r="Q45" s="111"/>
      <c r="R45" s="111"/>
      <c r="S45" s="111"/>
      <c r="T45" s="111"/>
      <c r="U45" s="111"/>
      <c r="V45" s="111"/>
    </row>
    <row r="46" spans="1:22" ht="42" customHeight="1" x14ac:dyDescent="0.2">
      <c r="A46" s="110"/>
      <c r="B46" s="314" t="s">
        <v>24</v>
      </c>
      <c r="C46" s="315"/>
      <c r="D46" s="284">
        <v>300000</v>
      </c>
      <c r="E46" s="284"/>
      <c r="F46" s="284">
        <v>550000</v>
      </c>
      <c r="G46" s="284"/>
      <c r="H46" s="284">
        <v>850000</v>
      </c>
      <c r="I46" s="284"/>
      <c r="J46" s="256" t="s">
        <v>74</v>
      </c>
      <c r="K46" s="112"/>
      <c r="N46" s="111"/>
      <c r="O46" s="111"/>
      <c r="P46" s="111"/>
      <c r="Q46" s="111"/>
      <c r="R46" s="111"/>
      <c r="S46" s="111"/>
      <c r="T46" s="111"/>
      <c r="U46" s="111"/>
      <c r="V46" s="111"/>
    </row>
    <row r="47" spans="1:22" ht="42" customHeight="1" x14ac:dyDescent="0.2">
      <c r="A47" s="110"/>
      <c r="B47" s="314" t="s">
        <v>4</v>
      </c>
      <c r="C47" s="315"/>
      <c r="D47" s="284">
        <v>0</v>
      </c>
      <c r="E47" s="284"/>
      <c r="F47" s="284">
        <v>0</v>
      </c>
      <c r="G47" s="284"/>
      <c r="H47" s="284">
        <v>0</v>
      </c>
      <c r="I47" s="284"/>
      <c r="J47" s="256" t="s">
        <v>74</v>
      </c>
      <c r="K47" s="112"/>
      <c r="N47" s="111"/>
      <c r="O47" s="111"/>
      <c r="P47" s="111"/>
      <c r="Q47" s="111"/>
      <c r="R47" s="111"/>
      <c r="S47" s="111"/>
      <c r="T47" s="111"/>
      <c r="U47" s="111"/>
      <c r="V47" s="111"/>
    </row>
    <row r="48" spans="1:22" ht="18.75" customHeight="1" x14ac:dyDescent="0.2">
      <c r="A48" s="326"/>
      <c r="B48" s="326"/>
      <c r="C48" s="326"/>
      <c r="D48" s="326"/>
      <c r="E48" s="326"/>
      <c r="F48" s="326"/>
      <c r="G48" s="326"/>
      <c r="H48" s="326"/>
      <c r="I48" s="326"/>
      <c r="J48" s="326"/>
      <c r="K48" s="112"/>
      <c r="N48" s="111"/>
      <c r="O48" s="111"/>
      <c r="P48" s="111"/>
      <c r="Q48" s="111"/>
      <c r="R48" s="111"/>
      <c r="S48" s="111"/>
      <c r="T48" s="111"/>
      <c r="U48" s="111"/>
      <c r="V48" s="111"/>
    </row>
    <row r="49" spans="1:22" ht="18.75" customHeight="1" x14ac:dyDescent="0.2">
      <c r="A49" s="102" t="s">
        <v>61</v>
      </c>
      <c r="B49" s="177"/>
      <c r="C49" s="177"/>
      <c r="D49" s="177"/>
      <c r="E49" s="177"/>
      <c r="F49" s="177"/>
      <c r="G49" s="177"/>
      <c r="H49" s="177"/>
      <c r="I49" s="177"/>
      <c r="J49" s="177"/>
      <c r="K49" s="112"/>
      <c r="N49" s="111"/>
      <c r="O49" s="111"/>
      <c r="P49" s="111"/>
      <c r="Q49" s="111"/>
      <c r="R49" s="111"/>
      <c r="S49" s="111"/>
      <c r="T49" s="111"/>
      <c r="U49" s="111"/>
      <c r="V49" s="111"/>
    </row>
    <row r="50" spans="1:22" ht="18.75" customHeight="1" x14ac:dyDescent="0.2">
      <c r="A50" s="102"/>
      <c r="B50" s="177"/>
      <c r="C50" s="177"/>
      <c r="D50" s="177"/>
      <c r="E50" s="177"/>
      <c r="F50" s="177"/>
      <c r="G50" s="177"/>
      <c r="H50" s="177"/>
      <c r="I50" s="177"/>
      <c r="J50" s="177"/>
      <c r="K50" s="112"/>
      <c r="N50" s="111"/>
      <c r="O50" s="111"/>
      <c r="P50" s="111"/>
      <c r="Q50" s="111"/>
      <c r="R50" s="111"/>
      <c r="S50" s="111"/>
      <c r="T50" s="111"/>
      <c r="U50" s="111"/>
      <c r="V50" s="111"/>
    </row>
    <row r="51" spans="1:22" ht="36.75" customHeight="1" x14ac:dyDescent="0.2">
      <c r="A51" s="102"/>
      <c r="B51" s="177"/>
      <c r="C51" s="177"/>
      <c r="D51" s="295" t="s">
        <v>100</v>
      </c>
      <c r="E51" s="295"/>
      <c r="F51" s="295"/>
      <c r="G51" s="295" t="s">
        <v>151</v>
      </c>
      <c r="H51" s="295"/>
      <c r="I51" s="295"/>
      <c r="J51" s="295"/>
      <c r="K51" s="112"/>
      <c r="N51" s="111"/>
      <c r="O51" s="111"/>
      <c r="P51" s="111"/>
      <c r="Q51" s="111"/>
      <c r="R51" s="111"/>
      <c r="S51" s="111"/>
      <c r="T51" s="111"/>
      <c r="U51" s="111"/>
      <c r="V51" s="111"/>
    </row>
    <row r="52" spans="1:22" ht="57" x14ac:dyDescent="0.2">
      <c r="A52" s="102"/>
      <c r="B52" s="177"/>
      <c r="C52" s="177"/>
      <c r="D52" s="277" t="s">
        <v>64</v>
      </c>
      <c r="E52" s="277" t="s">
        <v>101</v>
      </c>
      <c r="F52" s="277" t="s">
        <v>102</v>
      </c>
      <c r="G52" s="277" t="s">
        <v>64</v>
      </c>
      <c r="H52" s="277" t="s">
        <v>101</v>
      </c>
      <c r="I52" s="292" t="s">
        <v>102</v>
      </c>
      <c r="J52" s="292"/>
      <c r="K52" s="112"/>
      <c r="N52" s="111"/>
      <c r="O52" s="111"/>
      <c r="P52" s="111"/>
      <c r="Q52" s="111"/>
      <c r="R52" s="111"/>
      <c r="S52" s="111"/>
      <c r="T52" s="111"/>
      <c r="U52" s="111"/>
      <c r="V52" s="111"/>
    </row>
    <row r="53" spans="1:22" ht="42" customHeight="1" x14ac:dyDescent="0.2">
      <c r="A53" s="298" t="str">
        <f>D40</f>
        <v>для формата Ломбард</v>
      </c>
      <c r="B53" s="298"/>
      <c r="C53" s="298"/>
      <c r="D53" s="278">
        <v>1</v>
      </c>
      <c r="E53" s="278">
        <v>700</v>
      </c>
      <c r="F53" s="279">
        <v>0</v>
      </c>
      <c r="G53" s="278">
        <v>1</v>
      </c>
      <c r="H53" s="278">
        <v>700</v>
      </c>
      <c r="I53" s="294">
        <v>5.0000000000000001E-3</v>
      </c>
      <c r="J53" s="294"/>
      <c r="K53" s="112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42" customHeight="1" x14ac:dyDescent="0.2">
      <c r="A54" s="298" t="str">
        <f>F40</f>
        <v>для формата Стандарт</v>
      </c>
      <c r="B54" s="298"/>
      <c r="C54" s="298"/>
      <c r="D54" s="278">
        <v>1</v>
      </c>
      <c r="E54" s="278">
        <v>700</v>
      </c>
      <c r="F54" s="279">
        <v>0</v>
      </c>
      <c r="G54" s="278">
        <v>1</v>
      </c>
      <c r="H54" s="278">
        <v>700</v>
      </c>
      <c r="I54" s="294">
        <v>5.0000000000000001E-3</v>
      </c>
      <c r="J54" s="294"/>
      <c r="K54" s="112"/>
      <c r="N54" s="111"/>
      <c r="O54" s="111"/>
      <c r="P54" s="111"/>
      <c r="Q54" s="111"/>
      <c r="R54" s="111"/>
      <c r="S54" s="111"/>
      <c r="T54" s="111"/>
      <c r="U54" s="111"/>
      <c r="V54" s="111"/>
    </row>
    <row r="55" spans="1:22" ht="42" customHeight="1" x14ac:dyDescent="0.2">
      <c r="A55" s="298" t="str">
        <f>H40</f>
        <v>для формата Бизнес под ключ</v>
      </c>
      <c r="B55" s="298"/>
      <c r="C55" s="298"/>
      <c r="D55" s="278">
        <v>1</v>
      </c>
      <c r="E55" s="278">
        <v>700</v>
      </c>
      <c r="F55" s="279">
        <v>0</v>
      </c>
      <c r="G55" s="278">
        <v>2</v>
      </c>
      <c r="H55" s="278">
        <v>700</v>
      </c>
      <c r="I55" s="294">
        <v>5.0000000000000001E-3</v>
      </c>
      <c r="J55" s="294"/>
      <c r="K55" s="112"/>
      <c r="N55" s="111"/>
      <c r="O55" s="111"/>
      <c r="P55" s="111"/>
      <c r="Q55" s="111"/>
      <c r="R55" s="111"/>
      <c r="S55" s="111"/>
      <c r="T55" s="111"/>
      <c r="U55" s="111"/>
      <c r="V55" s="111"/>
    </row>
    <row r="56" spans="1:22" ht="18.75" customHeight="1" x14ac:dyDescent="0.2">
      <c r="A56" s="175"/>
      <c r="B56" s="175"/>
      <c r="C56" s="175"/>
      <c r="D56" s="280"/>
      <c r="E56" s="280"/>
      <c r="F56" s="280"/>
      <c r="G56" s="280"/>
      <c r="H56" s="280"/>
      <c r="I56" s="280"/>
      <c r="J56" s="280"/>
      <c r="K56" s="112"/>
      <c r="N56" s="111"/>
      <c r="O56" s="111"/>
      <c r="P56" s="111"/>
      <c r="Q56" s="111"/>
      <c r="R56" s="111"/>
      <c r="S56" s="111"/>
      <c r="T56" s="111"/>
      <c r="U56" s="111"/>
      <c r="V56" s="111"/>
    </row>
    <row r="57" spans="1:22" ht="24.75" customHeight="1" x14ac:dyDescent="0.2">
      <c r="A57" s="102" t="s">
        <v>150</v>
      </c>
      <c r="D57" s="281"/>
      <c r="E57" s="230"/>
      <c r="F57" s="230"/>
      <c r="G57" s="230"/>
      <c r="H57" s="296"/>
      <c r="I57" s="296"/>
      <c r="J57" s="251"/>
    </row>
    <row r="58" spans="1:22" s="1" customFormat="1" ht="37.5" customHeight="1" x14ac:dyDescent="0.2">
      <c r="A58"/>
      <c r="B58" s="230"/>
      <c r="C58" s="230"/>
      <c r="D58" s="292" t="str">
        <f>D40</f>
        <v>для формата Ломбард</v>
      </c>
      <c r="E58" s="292"/>
      <c r="F58" s="292" t="str">
        <f>F40</f>
        <v>для формата Стандарт</v>
      </c>
      <c r="G58" s="292"/>
      <c r="H58" s="292" t="str">
        <f>H40</f>
        <v>для формата Бизнес под ключ</v>
      </c>
      <c r="I58" s="292"/>
      <c r="J58" s="282"/>
      <c r="K58" s="104"/>
      <c r="N58" s="97"/>
    </row>
    <row r="59" spans="1:22" s="1" customFormat="1" ht="58.5" customHeight="1" x14ac:dyDescent="0.2">
      <c r="A59" s="320"/>
      <c r="B59" s="373" t="s">
        <v>155</v>
      </c>
      <c r="C59" s="374"/>
      <c r="D59" s="293">
        <v>0</v>
      </c>
      <c r="E59" s="293"/>
      <c r="F59" s="297">
        <v>0</v>
      </c>
      <c r="G59" s="297"/>
      <c r="H59" s="293">
        <v>0</v>
      </c>
      <c r="I59" s="293"/>
      <c r="J59" s="283" t="s">
        <v>63</v>
      </c>
      <c r="K59" s="104"/>
      <c r="N59" s="97"/>
    </row>
    <row r="60" spans="1:22" s="1" customFormat="1" ht="39.75" customHeight="1" x14ac:dyDescent="0.2">
      <c r="A60" s="320"/>
      <c r="B60" s="373"/>
      <c r="C60" s="374"/>
      <c r="D60" s="291">
        <v>10000</v>
      </c>
      <c r="E60" s="291"/>
      <c r="F60" s="319">
        <v>10000</v>
      </c>
      <c r="G60" s="319"/>
      <c r="H60" s="291">
        <v>10000</v>
      </c>
      <c r="I60" s="291"/>
      <c r="J60" s="268" t="s">
        <v>75</v>
      </c>
      <c r="K60" s="104"/>
      <c r="N60" s="97"/>
    </row>
    <row r="61" spans="1:22" ht="18.75" customHeight="1" x14ac:dyDescent="0.2">
      <c r="A61" s="177"/>
      <c r="B61" s="177"/>
      <c r="C61" s="177"/>
      <c r="D61" s="177"/>
      <c r="E61" s="177"/>
      <c r="F61" s="177"/>
      <c r="G61" s="177"/>
      <c r="H61" s="177"/>
      <c r="I61" s="177"/>
      <c r="J61" s="229"/>
      <c r="K61" s="112"/>
      <c r="N61" s="111"/>
      <c r="O61" s="111"/>
      <c r="P61" s="111"/>
      <c r="Q61" s="111"/>
      <c r="R61" s="111"/>
      <c r="S61" s="111"/>
      <c r="T61" s="111"/>
      <c r="U61" s="111"/>
      <c r="V61" s="111"/>
    </row>
    <row r="62" spans="1:22" ht="62.25" customHeight="1" x14ac:dyDescent="0.2">
      <c r="A62" s="115"/>
      <c r="B62" s="373" t="s">
        <v>156</v>
      </c>
      <c r="C62" s="373"/>
      <c r="D62" s="297"/>
      <c r="E62" s="297"/>
      <c r="F62" s="293">
        <v>0</v>
      </c>
      <c r="G62" s="293"/>
      <c r="H62" s="293">
        <v>0</v>
      </c>
      <c r="I62" s="293"/>
      <c r="J62" s="268" t="s">
        <v>63</v>
      </c>
      <c r="K62" s="230"/>
      <c r="L62" s="181"/>
    </row>
    <row r="63" spans="1:22" ht="42" customHeight="1" x14ac:dyDescent="0.2">
      <c r="A63" s="115"/>
      <c r="B63" s="375" t="s">
        <v>104</v>
      </c>
      <c r="C63" s="376"/>
      <c r="D63" s="290">
        <v>10000</v>
      </c>
      <c r="E63" s="290"/>
      <c r="F63" s="290">
        <v>10000</v>
      </c>
      <c r="G63" s="290"/>
      <c r="H63" s="290">
        <v>10000</v>
      </c>
      <c r="I63" s="290"/>
      <c r="J63" s="268" t="s">
        <v>75</v>
      </c>
      <c r="K63" s="230"/>
    </row>
    <row r="64" spans="1:22" ht="42" customHeight="1" x14ac:dyDescent="0.2">
      <c r="A64" s="115"/>
      <c r="B64" s="375" t="s">
        <v>105</v>
      </c>
      <c r="C64" s="376"/>
      <c r="D64" s="290">
        <v>0</v>
      </c>
      <c r="E64" s="290"/>
      <c r="F64" s="291">
        <v>0</v>
      </c>
      <c r="G64" s="291"/>
      <c r="H64" s="291">
        <v>0</v>
      </c>
      <c r="I64" s="291"/>
      <c r="J64" s="268" t="s">
        <v>75</v>
      </c>
      <c r="K64" s="230"/>
    </row>
    <row r="65" spans="1:23" ht="42" customHeight="1" x14ac:dyDescent="0.2">
      <c r="A65" s="110"/>
      <c r="B65" s="375" t="s">
        <v>2</v>
      </c>
      <c r="C65" s="376"/>
      <c r="D65" s="291">
        <v>20000</v>
      </c>
      <c r="E65" s="291"/>
      <c r="F65" s="291">
        <v>20000</v>
      </c>
      <c r="G65" s="291"/>
      <c r="H65" s="291">
        <v>30000</v>
      </c>
      <c r="I65" s="291"/>
      <c r="J65" s="268" t="s">
        <v>75</v>
      </c>
      <c r="K65" s="276"/>
      <c r="L65" s="110"/>
      <c r="N65" s="111"/>
      <c r="O65" s="111"/>
      <c r="P65" s="111"/>
      <c r="Q65" s="111"/>
      <c r="R65" s="111"/>
      <c r="S65" s="111"/>
      <c r="T65" s="111"/>
      <c r="U65" s="111"/>
      <c r="V65" s="111"/>
      <c r="W65" s="111"/>
    </row>
    <row r="66" spans="1:23" ht="42" customHeight="1" x14ac:dyDescent="0.2">
      <c r="A66" s="110"/>
      <c r="B66" s="373" t="s">
        <v>3</v>
      </c>
      <c r="C66" s="374"/>
      <c r="D66" s="284">
        <v>2000</v>
      </c>
      <c r="E66" s="284"/>
      <c r="F66" s="284">
        <v>2000</v>
      </c>
      <c r="G66" s="284"/>
      <c r="H66" s="284">
        <v>2000</v>
      </c>
      <c r="I66" s="284"/>
      <c r="J66" s="268" t="s">
        <v>75</v>
      </c>
      <c r="K66" s="230"/>
    </row>
    <row r="67" spans="1:23" ht="42" customHeight="1" x14ac:dyDescent="0.2">
      <c r="A67" s="110"/>
      <c r="B67" s="373" t="s">
        <v>163</v>
      </c>
      <c r="C67" s="374"/>
      <c r="D67" s="284">
        <v>1500</v>
      </c>
      <c r="E67" s="284"/>
      <c r="F67" s="284">
        <v>1500</v>
      </c>
      <c r="G67" s="284"/>
      <c r="H67" s="284">
        <v>1500</v>
      </c>
      <c r="I67" s="284"/>
      <c r="J67" s="268" t="s">
        <v>75</v>
      </c>
      <c r="K67" s="230"/>
    </row>
    <row r="68" spans="1:23" ht="42" customHeight="1" x14ac:dyDescent="0.2">
      <c r="A68" s="110"/>
      <c r="B68" s="373" t="s">
        <v>58</v>
      </c>
      <c r="C68" s="374"/>
      <c r="D68" s="284">
        <v>1000</v>
      </c>
      <c r="E68" s="284"/>
      <c r="F68" s="284">
        <v>1000</v>
      </c>
      <c r="G68" s="284"/>
      <c r="H68" s="284">
        <v>1000</v>
      </c>
      <c r="I68" s="284"/>
      <c r="J68" s="268" t="s">
        <v>75</v>
      </c>
      <c r="K68" s="230"/>
    </row>
    <row r="69" spans="1:23" ht="42" customHeight="1" x14ac:dyDescent="0.2">
      <c r="A69" s="110"/>
      <c r="B69" s="373" t="s">
        <v>28</v>
      </c>
      <c r="C69" s="374"/>
      <c r="D69" s="284">
        <v>1200</v>
      </c>
      <c r="E69" s="284"/>
      <c r="F69" s="284">
        <v>1200</v>
      </c>
      <c r="G69" s="284"/>
      <c r="H69" s="284">
        <v>1200</v>
      </c>
      <c r="I69" s="284"/>
      <c r="J69" s="268" t="s">
        <v>75</v>
      </c>
      <c r="K69" s="230"/>
    </row>
    <row r="70" spans="1:23" ht="42" customHeight="1" x14ac:dyDescent="0.2">
      <c r="A70" s="110"/>
      <c r="B70" s="373" t="s">
        <v>29</v>
      </c>
      <c r="C70" s="374"/>
      <c r="D70" s="284">
        <v>0</v>
      </c>
      <c r="E70" s="284"/>
      <c r="F70" s="284">
        <v>0</v>
      </c>
      <c r="G70" s="284"/>
      <c r="H70" s="284">
        <v>0</v>
      </c>
      <c r="I70" s="284"/>
      <c r="J70" s="268" t="s">
        <v>75</v>
      </c>
      <c r="K70" s="230"/>
    </row>
    <row r="71" spans="1:23" ht="42" customHeight="1" x14ac:dyDescent="0.2">
      <c r="A71" s="110"/>
      <c r="B71" s="377" t="s">
        <v>62</v>
      </c>
      <c r="C71" s="378"/>
      <c r="D71" s="284">
        <v>10000</v>
      </c>
      <c r="E71" s="284"/>
      <c r="F71" s="284">
        <v>10000</v>
      </c>
      <c r="G71" s="284"/>
      <c r="H71" s="284">
        <v>10000</v>
      </c>
      <c r="I71" s="284"/>
      <c r="J71" s="268" t="s">
        <v>75</v>
      </c>
      <c r="K71" s="230"/>
    </row>
    <row r="72" spans="1:23" ht="42" customHeight="1" x14ac:dyDescent="0.2">
      <c r="A72" s="110"/>
      <c r="B72" s="373" t="s">
        <v>4</v>
      </c>
      <c r="C72" s="374"/>
      <c r="D72" s="284">
        <v>3000</v>
      </c>
      <c r="E72" s="284"/>
      <c r="F72" s="284">
        <v>3000</v>
      </c>
      <c r="G72" s="284"/>
      <c r="H72" s="284">
        <v>3000</v>
      </c>
      <c r="I72" s="284"/>
      <c r="J72" s="268" t="s">
        <v>75</v>
      </c>
      <c r="K72" s="230"/>
    </row>
    <row r="73" spans="1:23" x14ac:dyDescent="0.2">
      <c r="D73" s="230"/>
      <c r="E73" s="230"/>
      <c r="F73" s="230"/>
      <c r="G73" s="230"/>
      <c r="H73" s="230"/>
      <c r="I73" s="230"/>
      <c r="J73" s="230"/>
      <c r="K73" s="230"/>
    </row>
  </sheetData>
  <sheetProtection formatCells="0" formatColumns="0" formatRows="0" insertColumns="0" insertRows="0" insertHyperlinks="0" deleteColumns="0" deleteRows="0" sort="0" autoFilter="0" pivotTables="0"/>
  <mergeCells count="191">
    <mergeCell ref="D60:E60"/>
    <mergeCell ref="F60:G60"/>
    <mergeCell ref="H60:I60"/>
    <mergeCell ref="B59:C60"/>
    <mergeCell ref="A59:A60"/>
    <mergeCell ref="A25:J25"/>
    <mergeCell ref="B72:C72"/>
    <mergeCell ref="B45:C45"/>
    <mergeCell ref="B71:C71"/>
    <mergeCell ref="B67:C67"/>
    <mergeCell ref="B65:C65"/>
    <mergeCell ref="B47:C47"/>
    <mergeCell ref="A48:J48"/>
    <mergeCell ref="H65:I65"/>
    <mergeCell ref="B66:C66"/>
    <mergeCell ref="B62:C62"/>
    <mergeCell ref="H62:I62"/>
    <mergeCell ref="A55:C55"/>
    <mergeCell ref="B46:C46"/>
    <mergeCell ref="F72:G72"/>
    <mergeCell ref="D58:E58"/>
    <mergeCell ref="D62:E62"/>
    <mergeCell ref="D65:E65"/>
    <mergeCell ref="D66:E66"/>
    <mergeCell ref="D67:E67"/>
    <mergeCell ref="D47:E47"/>
    <mergeCell ref="F47:G47"/>
    <mergeCell ref="D71:E71"/>
    <mergeCell ref="D72:E72"/>
    <mergeCell ref="F70:G70"/>
    <mergeCell ref="B42:C42"/>
    <mergeCell ref="A8:C8"/>
    <mergeCell ref="B70:C70"/>
    <mergeCell ref="B68:C68"/>
    <mergeCell ref="B69:C69"/>
    <mergeCell ref="B43:C43"/>
    <mergeCell ref="B44:C44"/>
    <mergeCell ref="A29:C29"/>
    <mergeCell ref="A14:C14"/>
    <mergeCell ref="A15:C15"/>
    <mergeCell ref="A36:C36"/>
    <mergeCell ref="A53:C53"/>
    <mergeCell ref="A54:C54"/>
    <mergeCell ref="D9:E9"/>
    <mergeCell ref="D10:E10"/>
    <mergeCell ref="D12:E12"/>
    <mergeCell ref="D14:E14"/>
    <mergeCell ref="D15:E15"/>
    <mergeCell ref="A9:C9"/>
    <mergeCell ref="A10:C10"/>
    <mergeCell ref="A12:C12"/>
    <mergeCell ref="B41:C41"/>
    <mergeCell ref="A24:C24"/>
    <mergeCell ref="A19:C19"/>
    <mergeCell ref="D19:E19"/>
    <mergeCell ref="D34:E34"/>
    <mergeCell ref="D40:E40"/>
    <mergeCell ref="D41:E41"/>
    <mergeCell ref="A1:J1"/>
    <mergeCell ref="D3:E3"/>
    <mergeCell ref="F3:G3"/>
    <mergeCell ref="H3:J3"/>
    <mergeCell ref="D6:E6"/>
    <mergeCell ref="F6:G6"/>
    <mergeCell ref="H6:J6"/>
    <mergeCell ref="A6:C6"/>
    <mergeCell ref="D8:E8"/>
    <mergeCell ref="F8:G8"/>
    <mergeCell ref="F9:G9"/>
    <mergeCell ref="F10:G10"/>
    <mergeCell ref="F12:G12"/>
    <mergeCell ref="F14:G14"/>
    <mergeCell ref="F15:G15"/>
    <mergeCell ref="H8:J8"/>
    <mergeCell ref="H9:J9"/>
    <mergeCell ref="H10:J10"/>
    <mergeCell ref="H12:J12"/>
    <mergeCell ref="H14:J14"/>
    <mergeCell ref="H15:J15"/>
    <mergeCell ref="H16:J16"/>
    <mergeCell ref="H29:J29"/>
    <mergeCell ref="H20:J20"/>
    <mergeCell ref="F31:G31"/>
    <mergeCell ref="H31:J31"/>
    <mergeCell ref="A35:C35"/>
    <mergeCell ref="D35:E35"/>
    <mergeCell ref="F35:G35"/>
    <mergeCell ref="H35:J35"/>
    <mergeCell ref="A16:C16"/>
    <mergeCell ref="D16:E16"/>
    <mergeCell ref="F16:G16"/>
    <mergeCell ref="D29:E29"/>
    <mergeCell ref="F29:G29"/>
    <mergeCell ref="A20:C20"/>
    <mergeCell ref="D20:E20"/>
    <mergeCell ref="F20:G20"/>
    <mergeCell ref="A17:C17"/>
    <mergeCell ref="D17:E17"/>
    <mergeCell ref="F17:G17"/>
    <mergeCell ref="H17:J17"/>
    <mergeCell ref="D24:E24"/>
    <mergeCell ref="F24:G24"/>
    <mergeCell ref="H24:J24"/>
    <mergeCell ref="F19:G19"/>
    <mergeCell ref="H19:J19"/>
    <mergeCell ref="F37:G37"/>
    <mergeCell ref="H37:J37"/>
    <mergeCell ref="A30:C30"/>
    <mergeCell ref="D30:E30"/>
    <mergeCell ref="F30:G30"/>
    <mergeCell ref="H30:J30"/>
    <mergeCell ref="A31:C31"/>
    <mergeCell ref="D31:E31"/>
    <mergeCell ref="D36:E36"/>
    <mergeCell ref="F36:G36"/>
    <mergeCell ref="H36:J36"/>
    <mergeCell ref="A37:C37"/>
    <mergeCell ref="D37:E37"/>
    <mergeCell ref="A28:C28"/>
    <mergeCell ref="D28:E28"/>
    <mergeCell ref="F28:G28"/>
    <mergeCell ref="H28:J28"/>
    <mergeCell ref="A33:C33"/>
    <mergeCell ref="D33:E33"/>
    <mergeCell ref="F33:G33"/>
    <mergeCell ref="H33:J33"/>
    <mergeCell ref="A34:C34"/>
    <mergeCell ref="F34:G34"/>
    <mergeCell ref="H34:J34"/>
    <mergeCell ref="H40:I40"/>
    <mergeCell ref="H41:I41"/>
    <mergeCell ref="H42:I42"/>
    <mergeCell ref="H44:I44"/>
    <mergeCell ref="H43:I43"/>
    <mergeCell ref="H45:I45"/>
    <mergeCell ref="H46:I46"/>
    <mergeCell ref="F40:G40"/>
    <mergeCell ref="F41:G41"/>
    <mergeCell ref="F42:G42"/>
    <mergeCell ref="F44:G44"/>
    <mergeCell ref="F43:G43"/>
    <mergeCell ref="F45:G45"/>
    <mergeCell ref="F46:G46"/>
    <mergeCell ref="D43:E43"/>
    <mergeCell ref="D45:E45"/>
    <mergeCell ref="D46:E46"/>
    <mergeCell ref="H70:I70"/>
    <mergeCell ref="D70:E70"/>
    <mergeCell ref="D68:E68"/>
    <mergeCell ref="D69:E69"/>
    <mergeCell ref="H47:I47"/>
    <mergeCell ref="I52:J52"/>
    <mergeCell ref="I53:J53"/>
    <mergeCell ref="I54:J54"/>
    <mergeCell ref="I55:J55"/>
    <mergeCell ref="G51:J51"/>
    <mergeCell ref="H57:I57"/>
    <mergeCell ref="D51:F51"/>
    <mergeCell ref="F58:G58"/>
    <mergeCell ref="F62:G62"/>
    <mergeCell ref="F65:G65"/>
    <mergeCell ref="F66:G66"/>
    <mergeCell ref="F67:G67"/>
    <mergeCell ref="F68:G68"/>
    <mergeCell ref="H59:I59"/>
    <mergeCell ref="F69:G69"/>
    <mergeCell ref="F59:G59"/>
    <mergeCell ref="F71:G71"/>
    <mergeCell ref="A2:J2"/>
    <mergeCell ref="A22:C22"/>
    <mergeCell ref="D22:E22"/>
    <mergeCell ref="F22:G22"/>
    <mergeCell ref="H22:J22"/>
    <mergeCell ref="H71:I71"/>
    <mergeCell ref="H72:I72"/>
    <mergeCell ref="B63:C63"/>
    <mergeCell ref="D63:E63"/>
    <mergeCell ref="F63:G63"/>
    <mergeCell ref="H63:I63"/>
    <mergeCell ref="B64:C64"/>
    <mergeCell ref="D64:E64"/>
    <mergeCell ref="F64:G64"/>
    <mergeCell ref="H64:I64"/>
    <mergeCell ref="H58:I58"/>
    <mergeCell ref="H66:I66"/>
    <mergeCell ref="H67:I67"/>
    <mergeCell ref="H68:I68"/>
    <mergeCell ref="H69:I69"/>
    <mergeCell ref="D59:E59"/>
    <mergeCell ref="D42:E42"/>
    <mergeCell ref="D44:E44"/>
  </mergeCells>
  <conditionalFormatting sqref="D24:E24">
    <cfRule type="cellIs" dxfId="10" priority="8" operator="greaterThan">
      <formula>1</formula>
    </cfRule>
  </conditionalFormatting>
  <conditionalFormatting sqref="F24:G24">
    <cfRule type="cellIs" dxfId="9" priority="7" operator="greaterThan">
      <formula>1</formula>
    </cfRule>
  </conditionalFormatting>
  <conditionalFormatting sqref="H24">
    <cfRule type="cellIs" dxfId="8" priority="6" operator="greaterThan">
      <formula>1</formula>
    </cfRule>
  </conditionalFormatting>
  <conditionalFormatting sqref="H24:J24">
    <cfRule type="cellIs" dxfId="7" priority="5" operator="greaterThan">
      <formula>1</formula>
    </cfRule>
  </conditionalFormatting>
  <conditionalFormatting sqref="D37:G37">
    <cfRule type="cellIs" dxfId="6" priority="4" operator="greaterThan">
      <formula>1</formula>
    </cfRule>
  </conditionalFormatting>
  <conditionalFormatting sqref="H37">
    <cfRule type="cellIs" dxfId="5" priority="2" operator="greaterThan">
      <formula>1</formula>
    </cfRule>
  </conditionalFormatting>
  <conditionalFormatting sqref="H37:J37">
    <cfRule type="cellIs" dxfId="4" priority="1" operator="greaterThan">
      <formula>1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50" orientation="portrait"/>
  <rowBreaks count="1" manualBreakCount="1">
    <brk id="38" max="9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5"/>
  <sheetViews>
    <sheetView showGridLines="0" tabSelected="1" zoomScale="85" zoomScaleNormal="85" zoomScaleSheetLayoutView="85" zoomScalePageLayoutView="85" workbookViewId="0">
      <selection activeCell="R14" sqref="R14"/>
    </sheetView>
  </sheetViews>
  <sheetFormatPr baseColWidth="10" defaultColWidth="8.83203125" defaultRowHeight="15" x14ac:dyDescent="0.2"/>
  <cols>
    <col min="1" max="1" width="8.5" customWidth="1"/>
    <col min="2" max="2" width="24.5" customWidth="1"/>
    <col min="3" max="3" width="17.33203125" customWidth="1"/>
    <col min="4" max="4" width="28" customWidth="1"/>
    <col min="5" max="5" width="21.33203125" customWidth="1"/>
    <col min="6" max="6" width="13.5" customWidth="1"/>
    <col min="7" max="7" width="14.1640625" customWidth="1"/>
    <col min="8" max="8" width="12.5" customWidth="1"/>
    <col min="9" max="9" width="13.5" customWidth="1"/>
    <col min="10" max="10" width="11.83203125" customWidth="1"/>
    <col min="11" max="12" width="9.1640625" customWidth="1"/>
    <col min="13" max="13" width="9.1640625" hidden="1" customWidth="1"/>
    <col min="14" max="14" width="17.33203125" hidden="1" customWidth="1"/>
    <col min="15" max="15" width="15" hidden="1" customWidth="1"/>
    <col min="16" max="16" width="17.83203125" hidden="1" customWidth="1"/>
  </cols>
  <sheetData>
    <row r="1" spans="1:17" ht="93" customHeight="1" x14ac:dyDescent="0.2">
      <c r="A1" s="356" t="s">
        <v>174</v>
      </c>
      <c r="B1" s="357"/>
      <c r="C1" s="357"/>
      <c r="D1" s="357"/>
      <c r="E1" s="357"/>
      <c r="F1" s="357"/>
      <c r="G1" s="357"/>
      <c r="H1" s="357"/>
      <c r="I1" s="357"/>
      <c r="J1" s="225"/>
      <c r="M1" s="101">
        <v>2</v>
      </c>
      <c r="N1" s="108" t="str">
        <f>'Исходные данные'!$D$3</f>
        <v>Ломбард</v>
      </c>
      <c r="O1" s="126">
        <v>1</v>
      </c>
      <c r="P1" s="126" t="s">
        <v>31</v>
      </c>
    </row>
    <row r="2" spans="1:17" s="116" customFormat="1" ht="36" customHeight="1" x14ac:dyDescent="0.65">
      <c r="A2" s="197" t="s">
        <v>106</v>
      </c>
      <c r="B2" s="198"/>
      <c r="G2" s="199" t="s">
        <v>30</v>
      </c>
      <c r="I2" s="200"/>
      <c r="J2" s="200"/>
      <c r="K2" s="201"/>
      <c r="M2" s="202"/>
      <c r="N2" s="202" t="str">
        <f>'Исходные данные'!$F$3</f>
        <v>Стандарт</v>
      </c>
      <c r="O2" s="203"/>
      <c r="P2" s="203" t="s">
        <v>32</v>
      </c>
    </row>
    <row r="3" spans="1:17" s="116" customFormat="1" ht="36.75" customHeight="1" x14ac:dyDescent="0.65">
      <c r="A3" s="197" t="s">
        <v>108</v>
      </c>
      <c r="B3" s="198"/>
      <c r="D3" s="204">
        <v>1</v>
      </c>
      <c r="E3" s="205"/>
      <c r="G3" s="199"/>
      <c r="I3" s="200"/>
      <c r="J3" s="200"/>
      <c r="K3" s="201"/>
      <c r="M3" s="202"/>
      <c r="N3" s="202" t="str">
        <f>'Исходные данные'!$H$3</f>
        <v>Бизнес под ключ</v>
      </c>
      <c r="O3" s="203"/>
      <c r="P3" s="203" t="s">
        <v>33</v>
      </c>
    </row>
    <row r="4" spans="1:17" ht="33" customHeight="1" x14ac:dyDescent="0.2">
      <c r="A4" s="102" t="s">
        <v>146</v>
      </c>
      <c r="N4" s="96"/>
      <c r="O4" s="127"/>
      <c r="P4" s="126" t="s">
        <v>34</v>
      </c>
    </row>
    <row r="5" spans="1:17" s="1" customFormat="1" ht="56.25" customHeight="1" x14ac:dyDescent="0.2">
      <c r="A5" s="358" t="str">
        <f>'Исходные данные'!A7</f>
        <v>Параметры кредитов</v>
      </c>
      <c r="B5" s="359"/>
      <c r="C5" s="359"/>
      <c r="D5" s="333" t="s">
        <v>145</v>
      </c>
      <c r="E5" s="333"/>
      <c r="F5" s="333" t="str">
        <f>'Исходные данные'!A9</f>
        <v>Средний срок кредитования, дней</v>
      </c>
      <c r="G5" s="333"/>
      <c r="H5" s="333" t="str">
        <f>'Исходные данные'!A10</f>
        <v>Средняя % ставка за пользование деньгами, %/день</v>
      </c>
      <c r="I5" s="292"/>
      <c r="J5" s="94"/>
      <c r="M5" s="94"/>
      <c r="N5" s="97"/>
      <c r="O5" s="126"/>
      <c r="P5" s="126" t="s">
        <v>35</v>
      </c>
      <c r="Q5" s="97"/>
    </row>
    <row r="6" spans="1:17" ht="42" customHeight="1" x14ac:dyDescent="0.2">
      <c r="A6" s="359"/>
      <c r="B6" s="359"/>
      <c r="C6" s="359"/>
      <c r="D6" s="332">
        <v>3000000</v>
      </c>
      <c r="E6" s="332"/>
      <c r="F6" s="332">
        <f>CHOOSE($M$1,'Исходные данные'!$D$9,'Исходные данные'!$F$9,'Исходные данные'!$H$9)</f>
        <v>30</v>
      </c>
      <c r="G6" s="332"/>
      <c r="H6" s="297">
        <f>CHOOSE($M$1,'Исходные данные'!$D$10,'Исходные данные'!$F$10,'Исходные данные'!$H$10)</f>
        <v>3.3E-3</v>
      </c>
      <c r="I6" s="297"/>
      <c r="J6" s="3"/>
      <c r="N6" s="99"/>
      <c r="O6" s="126"/>
      <c r="P6" s="126" t="s">
        <v>36</v>
      </c>
      <c r="Q6" s="98"/>
    </row>
    <row r="7" spans="1:17" s="2" customFormat="1" ht="10" customHeight="1" x14ac:dyDescent="0.2">
      <c r="A7" s="234"/>
      <c r="B7" s="234"/>
      <c r="C7" s="234"/>
      <c r="D7" s="233"/>
      <c r="E7" s="233"/>
      <c r="F7" s="233"/>
      <c r="G7" s="233"/>
      <c r="H7" s="235"/>
      <c r="I7" s="235"/>
      <c r="J7" s="3"/>
      <c r="N7" s="193"/>
      <c r="O7" s="194"/>
      <c r="P7" s="126" t="s">
        <v>37</v>
      </c>
      <c r="Q7" s="195"/>
    </row>
    <row r="8" spans="1:17" ht="56.25" customHeight="1" x14ac:dyDescent="0.2">
      <c r="A8" s="330" t="str">
        <f>'Исходные данные'!A11</f>
        <v>Параметры привлечения средств</v>
      </c>
      <c r="B8" s="330"/>
      <c r="C8" s="330"/>
      <c r="D8" s="333" t="str">
        <f>'Исходные данные'!A12</f>
        <v>Средняя % ставка за привлечение средств, %/день</v>
      </c>
      <c r="E8" s="333"/>
      <c r="F8" s="308">
        <f>CHOOSE($M$1,'Исходные данные'!$D$12,'Исходные данные'!$F$12,'Исходные данные'!$H$12)</f>
        <v>0</v>
      </c>
      <c r="G8" s="308"/>
      <c r="H8" s="331"/>
      <c r="I8" s="331"/>
      <c r="J8" s="3"/>
      <c r="N8" s="99"/>
      <c r="O8" s="126"/>
      <c r="P8" s="126" t="s">
        <v>38</v>
      </c>
      <c r="Q8" s="98"/>
    </row>
    <row r="9" spans="1:17" s="2" customFormat="1" ht="10" customHeight="1" x14ac:dyDescent="0.2">
      <c r="A9" s="234"/>
      <c r="B9" s="234"/>
      <c r="C9" s="234"/>
      <c r="D9" s="233"/>
      <c r="E9" s="233"/>
      <c r="F9" s="233"/>
      <c r="G9" s="233"/>
      <c r="H9" s="235"/>
      <c r="I9" s="235"/>
      <c r="J9" s="3"/>
      <c r="N9" s="193"/>
      <c r="O9" s="194"/>
      <c r="P9" s="126" t="s">
        <v>39</v>
      </c>
      <c r="Q9" s="195"/>
    </row>
    <row r="10" spans="1:17" ht="42" customHeight="1" x14ac:dyDescent="0.2">
      <c r="A10" s="330" t="str">
        <f>'Исходные данные'!A13</f>
        <v>Параметры просрочки</v>
      </c>
      <c r="B10" s="330"/>
      <c r="C10" s="330"/>
      <c r="D10" s="333" t="str">
        <f>'Исходные данные'!A14</f>
        <v>Средний размер пени, %/день</v>
      </c>
      <c r="E10" s="333" t="s">
        <v>110</v>
      </c>
      <c r="F10" s="333"/>
      <c r="G10" s="333"/>
      <c r="H10" s="333" t="str">
        <f>'Исходные данные'!A17</f>
        <v>Средний срок просрочки, дней</v>
      </c>
      <c r="I10" s="333"/>
      <c r="J10" s="3"/>
      <c r="N10" s="99"/>
      <c r="O10" s="126"/>
      <c r="P10" s="126" t="s">
        <v>40</v>
      </c>
      <c r="Q10" s="98"/>
    </row>
    <row r="11" spans="1:17" ht="42" customHeight="1" x14ac:dyDescent="0.2">
      <c r="A11" s="330"/>
      <c r="B11" s="330"/>
      <c r="C11" s="330"/>
      <c r="D11" s="333"/>
      <c r="E11" s="236" t="s">
        <v>111</v>
      </c>
      <c r="F11" s="333" t="s">
        <v>112</v>
      </c>
      <c r="G11" s="333"/>
      <c r="H11" s="333"/>
      <c r="I11" s="333"/>
      <c r="J11" s="3"/>
      <c r="N11" s="99"/>
      <c r="O11" s="126"/>
      <c r="P11" s="126" t="s">
        <v>41</v>
      </c>
      <c r="Q11" s="98"/>
    </row>
    <row r="12" spans="1:17" ht="42" customHeight="1" x14ac:dyDescent="0.2">
      <c r="A12" s="330"/>
      <c r="B12" s="330"/>
      <c r="C12" s="330"/>
      <c r="D12" s="237">
        <f>CHOOSE($M$1,'Исходные данные'!$D$14,'Исходные данные'!$F$14,'Исходные данные'!$H$14)</f>
        <v>0.02</v>
      </c>
      <c r="E12" s="237">
        <f>CHOOSE($M$1,'Исходные данные'!$D$15,'Исходные данные'!$F$15,'Исходные данные'!$H$15)</f>
        <v>0.4</v>
      </c>
      <c r="F12" s="300">
        <f>CHOOSE($M$1,'Исходные данные'!$D$16,'Исходные данные'!$F$16,'Исходные данные'!$H$16)</f>
        <v>0.2</v>
      </c>
      <c r="G12" s="302"/>
      <c r="H12" s="332">
        <f>CHOOSE($M$1,'Исходные данные'!$D$17,'Исходные данные'!$F$17,'Исходные данные'!$H$17)</f>
        <v>15</v>
      </c>
      <c r="I12" s="332"/>
      <c r="J12" s="3"/>
      <c r="N12" s="99"/>
      <c r="O12" s="126"/>
      <c r="P12" s="126" t="s">
        <v>42</v>
      </c>
      <c r="Q12" s="98"/>
    </row>
    <row r="13" spans="1:17" ht="10" customHeight="1" x14ac:dyDescent="0.2">
      <c r="A13" s="196"/>
      <c r="B13" s="196"/>
      <c r="C13" s="196"/>
      <c r="D13" s="238"/>
      <c r="E13" s="239"/>
      <c r="F13" s="240"/>
      <c r="G13" s="240"/>
      <c r="H13" s="241"/>
      <c r="I13" s="241"/>
      <c r="J13" s="3"/>
      <c r="N13" s="99"/>
      <c r="O13" s="126"/>
      <c r="Q13" s="98"/>
    </row>
    <row r="14" spans="1:17" ht="42" customHeight="1" x14ac:dyDescent="0.2">
      <c r="A14" s="334" t="str">
        <f>'Исходные данные'!A18</f>
        <v>Параметры пролонгации</v>
      </c>
      <c r="B14" s="335"/>
      <c r="C14" s="336"/>
      <c r="D14" s="333" t="str">
        <f>'Исходные данные'!A19</f>
        <v>Удельный вес кредитов, которые закрываются в с пролонгацией, %</v>
      </c>
      <c r="E14" s="333"/>
      <c r="F14" s="333" t="str">
        <f>'Исходные данные'!A20</f>
        <v>Средний срок пролонгации, дней</v>
      </c>
      <c r="G14" s="333"/>
      <c r="H14" s="241"/>
      <c r="I14" s="241"/>
      <c r="J14" s="3"/>
      <c r="N14" s="99"/>
      <c r="O14" s="98"/>
      <c r="Q14" s="98"/>
    </row>
    <row r="15" spans="1:17" ht="42" customHeight="1" x14ac:dyDescent="0.2">
      <c r="A15" s="339"/>
      <c r="B15" s="340"/>
      <c r="C15" s="341"/>
      <c r="D15" s="297">
        <f>CHOOSE($M$1,'Исходные данные'!$D$19,'Исходные данные'!$F$19,'Исходные данные'!$H$19)</f>
        <v>0.2</v>
      </c>
      <c r="E15" s="297"/>
      <c r="F15" s="337">
        <f>CHOOSE($M$1,'Исходные данные'!$D$20,'Исходные данные'!$F$20,'Исходные данные'!$H$20)</f>
        <v>60</v>
      </c>
      <c r="G15" s="338"/>
      <c r="H15" s="241"/>
      <c r="I15" s="241"/>
      <c r="J15" s="3"/>
      <c r="L15" s="109"/>
      <c r="O15" s="100"/>
      <c r="Q15" s="98"/>
    </row>
    <row r="16" spans="1:17" ht="10" customHeight="1" x14ac:dyDescent="0.2">
      <c r="A16" s="196"/>
      <c r="B16" s="196"/>
      <c r="C16" s="196"/>
      <c r="D16" s="235"/>
      <c r="E16" s="235"/>
      <c r="F16" s="233"/>
      <c r="G16" s="233"/>
      <c r="H16" s="241"/>
      <c r="I16" s="241"/>
      <c r="J16" s="3"/>
      <c r="L16" s="109"/>
      <c r="O16" s="100"/>
      <c r="Q16" s="98"/>
    </row>
    <row r="17" spans="1:26" ht="42" customHeight="1" x14ac:dyDescent="0.2">
      <c r="A17" s="334" t="str">
        <f>'Исходные данные'!A26</f>
        <v>Параметры залога</v>
      </c>
      <c r="B17" s="335"/>
      <c r="C17" s="336"/>
      <c r="D17" s="242" t="s">
        <v>113</v>
      </c>
      <c r="E17" s="242" t="s">
        <v>114</v>
      </c>
      <c r="F17" s="327" t="s">
        <v>115</v>
      </c>
      <c r="G17" s="327"/>
      <c r="H17" s="327" t="s">
        <v>116</v>
      </c>
      <c r="I17" s="327"/>
      <c r="J17" s="3"/>
      <c r="L17" s="109"/>
      <c r="O17" s="100"/>
      <c r="Q17" s="98"/>
    </row>
    <row r="18" spans="1:26" ht="55.5" customHeight="1" x14ac:dyDescent="0.2">
      <c r="A18" s="295" t="s">
        <v>117</v>
      </c>
      <c r="B18" s="295"/>
      <c r="C18" s="295"/>
      <c r="D18" s="243">
        <f>CHOOSE($M$1,'Исходные данные'!$D$28,'Исходные данные'!$F$28,'Исходные данные'!$H$28)</f>
        <v>0.6</v>
      </c>
      <c r="E18" s="243">
        <f>CHOOSE($M$1,'Исходные данные'!$D$29,'Исходные данные'!$F$29,'Исходные данные'!$H$29)</f>
        <v>0.6</v>
      </c>
      <c r="F18" s="300">
        <f>CHOOSE($M$1,'Исходные данные'!$D$30,'Исходные данные'!$F$30,'Исходные данные'!$H$30)</f>
        <v>0.6</v>
      </c>
      <c r="G18" s="302"/>
      <c r="H18" s="328">
        <f>CHOOSE($M$1,'Исходные данные'!$D$31,'Исходные данные'!$F$31,'Исходные данные'!$H$31)</f>
        <v>0.25</v>
      </c>
      <c r="I18" s="329"/>
      <c r="J18" s="3"/>
      <c r="L18" s="109"/>
      <c r="O18" s="100"/>
      <c r="Q18" s="98"/>
    </row>
    <row r="19" spans="1:26" ht="55.5" customHeight="1" x14ac:dyDescent="0.2">
      <c r="A19" s="295" t="s">
        <v>118</v>
      </c>
      <c r="B19" s="295"/>
      <c r="C19" s="295"/>
      <c r="D19" s="243">
        <f>CHOOSE($M$1,'Исходные данные'!$D$33,'Исходные данные'!$F$33,'Исходные данные'!$H$33)</f>
        <v>0.1</v>
      </c>
      <c r="E19" s="243">
        <f>CHOOSE($M$1,'Исходные данные'!$D$34,'Исходные данные'!$F$34,'Исходные данные'!$H$34)</f>
        <v>0.7</v>
      </c>
      <c r="F19" s="300">
        <f>CHOOSE($M$1,'Исходные данные'!$D$35,'Исходные данные'!$F$35,'Исходные данные'!$H$35)</f>
        <v>0.2</v>
      </c>
      <c r="G19" s="302"/>
      <c r="H19" s="328">
        <f>CHOOSE($M$1,'Исходные данные'!$D$36,'Исходные данные'!$F$36,'Исходные данные'!$H$36)</f>
        <v>0</v>
      </c>
      <c r="I19" s="329"/>
      <c r="J19" s="3"/>
      <c r="K19" s="129"/>
      <c r="Q19" s="100"/>
    </row>
    <row r="20" spans="1:26" ht="20" customHeight="1" x14ac:dyDescent="0.2">
      <c r="A20" s="224"/>
      <c r="B20" s="224"/>
      <c r="C20" s="224"/>
      <c r="D20" s="244"/>
      <c r="E20" s="244"/>
      <c r="F20" s="245"/>
      <c r="G20" s="245"/>
      <c r="H20" s="244"/>
      <c r="I20" s="244"/>
      <c r="J20" s="3"/>
      <c r="K20" s="129"/>
      <c r="Q20" s="100"/>
    </row>
    <row r="21" spans="1:26" ht="69" customHeight="1" x14ac:dyDescent="0.2">
      <c r="A21" s="360" t="s">
        <v>153</v>
      </c>
      <c r="B21" s="360"/>
      <c r="C21" s="360"/>
      <c r="D21" s="246">
        <f>'Детальный расчет'!P43</f>
        <v>672741.66666666674</v>
      </c>
      <c r="E21" s="360" t="s">
        <v>154</v>
      </c>
      <c r="F21" s="360"/>
      <c r="G21" s="360"/>
      <c r="H21" s="361">
        <f>'Детальный расчет'!P48</f>
        <v>0</v>
      </c>
      <c r="I21" s="362"/>
      <c r="J21" s="3"/>
      <c r="K21" s="129"/>
      <c r="Q21" s="100"/>
    </row>
    <row r="22" spans="1:26" x14ac:dyDescent="0.2">
      <c r="A22" s="247"/>
      <c r="B22" s="248"/>
      <c r="C22" s="248"/>
      <c r="D22" s="248"/>
      <c r="E22" s="248"/>
      <c r="F22" s="249"/>
      <c r="G22" s="249"/>
      <c r="H22" s="249"/>
      <c r="I22" s="248"/>
    </row>
    <row r="23" spans="1:26" ht="24.75" customHeight="1" x14ac:dyDescent="0.2">
      <c r="A23" s="250" t="s">
        <v>148</v>
      </c>
      <c r="B23" s="230"/>
      <c r="C23" s="230"/>
      <c r="D23" s="230"/>
      <c r="E23" s="230"/>
      <c r="F23" s="251"/>
      <c r="G23" s="251"/>
      <c r="H23" s="251"/>
      <c r="I23" s="230"/>
    </row>
    <row r="24" spans="1:26" ht="16" x14ac:dyDescent="0.2">
      <c r="A24" s="230"/>
      <c r="B24" s="230"/>
      <c r="C24" s="230"/>
      <c r="D24" s="252"/>
      <c r="E24" s="253"/>
      <c r="F24" s="254"/>
      <c r="G24" s="230"/>
      <c r="H24" s="230"/>
      <c r="I24" s="230"/>
      <c r="J24" s="110"/>
      <c r="K24" s="110"/>
      <c r="N24" s="111"/>
      <c r="O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40" customHeight="1" x14ac:dyDescent="0.2">
      <c r="A25" s="255"/>
      <c r="B25" s="314" t="str">
        <f>'Исходные данные'!B41</f>
        <v>Брендирование помещения, вывеска</v>
      </c>
      <c r="C25" s="315"/>
      <c r="D25" s="345">
        <f>CHOOSE($M$1,'Исходные данные'!D41,'Исходные данные'!F41,'Исходные данные'!H41)*$D$3</f>
        <v>20000</v>
      </c>
      <c r="E25" s="345"/>
      <c r="F25" s="345"/>
      <c r="G25" s="345"/>
      <c r="H25" s="345"/>
      <c r="I25" s="256" t="s">
        <v>74</v>
      </c>
      <c r="J25" s="112"/>
      <c r="M25" s="111"/>
      <c r="N25" s="111"/>
      <c r="O25" s="111"/>
      <c r="Q25" s="111"/>
      <c r="R25" s="111"/>
      <c r="S25" s="111"/>
      <c r="T25" s="111"/>
      <c r="U25" s="111"/>
      <c r="V25" s="111"/>
      <c r="W25" s="111"/>
      <c r="X25" s="111"/>
      <c r="Y25" s="111"/>
    </row>
    <row r="26" spans="1:26" ht="7" customHeight="1" x14ac:dyDescent="0.2">
      <c r="A26" s="257"/>
      <c r="B26" s="258"/>
      <c r="C26" s="258"/>
      <c r="D26" s="259"/>
      <c r="E26" s="259"/>
      <c r="F26" s="230"/>
      <c r="G26" s="259"/>
      <c r="H26" s="230"/>
      <c r="I26" s="260"/>
      <c r="J26" s="113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</row>
    <row r="27" spans="1:26" ht="40" customHeight="1" x14ac:dyDescent="0.2">
      <c r="A27" s="255"/>
      <c r="B27" s="324" t="str">
        <f>'Исходные данные'!B42</f>
        <v>Офисная мебель</v>
      </c>
      <c r="C27" s="325"/>
      <c r="D27" s="345">
        <f>CHOOSE($M$1,'Исходные данные'!D42,'Исходные данные'!F42,'Исходные данные'!H42)*$D$3</f>
        <v>30000</v>
      </c>
      <c r="E27" s="345"/>
      <c r="F27" s="345"/>
      <c r="G27" s="345"/>
      <c r="H27" s="345"/>
      <c r="I27" s="256" t="s">
        <v>74</v>
      </c>
      <c r="J27" s="112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</row>
    <row r="28" spans="1:26" ht="7" customHeight="1" x14ac:dyDescent="0.3">
      <c r="A28" s="255"/>
      <c r="B28" s="261"/>
      <c r="C28" s="261"/>
      <c r="D28" s="234"/>
      <c r="E28" s="234"/>
      <c r="F28" s="234"/>
      <c r="G28" s="234"/>
      <c r="H28" s="262"/>
      <c r="I28" s="263"/>
      <c r="J28" s="114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</row>
    <row r="29" spans="1:26" ht="40" customHeight="1" x14ac:dyDescent="0.2">
      <c r="A29" s="255"/>
      <c r="B29" s="314" t="str">
        <f>'Исходные данные'!$B$43</f>
        <v>Компьютеры, офисная техника, программное обеспечение</v>
      </c>
      <c r="C29" s="315"/>
      <c r="D29" s="345">
        <f>CHOOSE($M$1,'Исходные данные'!D43,'Исходные данные'!F43,'Исходные данные'!H43)*$D$3</f>
        <v>25000</v>
      </c>
      <c r="E29" s="345"/>
      <c r="F29" s="345"/>
      <c r="G29" s="345"/>
      <c r="H29" s="345"/>
      <c r="I29" s="256" t="s">
        <v>74</v>
      </c>
      <c r="J29" s="112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</row>
    <row r="30" spans="1:26" ht="7" customHeight="1" x14ac:dyDescent="0.3">
      <c r="A30" s="255"/>
      <c r="B30" s="261"/>
      <c r="C30" s="261"/>
      <c r="D30" s="234"/>
      <c r="E30" s="234"/>
      <c r="F30" s="234"/>
      <c r="G30" s="234"/>
      <c r="H30" s="262"/>
      <c r="I30" s="263"/>
      <c r="J30" s="114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</row>
    <row r="31" spans="1:26" ht="40" customHeight="1" x14ac:dyDescent="0.2">
      <c r="A31" s="255"/>
      <c r="B31" s="314" t="s">
        <v>57</v>
      </c>
      <c r="C31" s="315"/>
      <c r="D31" s="345">
        <f>CHOOSE($M$1,'Исходные данные'!D44,'Исходные данные'!F44,'Исходные данные'!H44)*$D$3</f>
        <v>5000</v>
      </c>
      <c r="E31" s="345"/>
      <c r="F31" s="345"/>
      <c r="G31" s="345"/>
      <c r="H31" s="345"/>
      <c r="I31" s="256" t="s">
        <v>74</v>
      </c>
      <c r="J31" s="112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</row>
    <row r="32" spans="1:26" ht="7" customHeight="1" x14ac:dyDescent="0.3">
      <c r="A32" s="255"/>
      <c r="B32" s="261"/>
      <c r="C32" s="261"/>
      <c r="D32" s="350"/>
      <c r="E32" s="350"/>
      <c r="F32" s="350"/>
      <c r="G32" s="350"/>
      <c r="H32" s="262"/>
      <c r="I32" s="263"/>
      <c r="J32" s="114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</row>
    <row r="33" spans="1:26" ht="40" customHeight="1" x14ac:dyDescent="0.2">
      <c r="A33" s="255"/>
      <c r="B33" s="314" t="s">
        <v>25</v>
      </c>
      <c r="C33" s="315"/>
      <c r="D33" s="345">
        <f>CHOOSE($M$1,'Исходные данные'!D45,'Исходные данные'!F45,'Исходные данные'!H45)*$D$3</f>
        <v>10000</v>
      </c>
      <c r="E33" s="345"/>
      <c r="F33" s="345"/>
      <c r="G33" s="345"/>
      <c r="H33" s="345"/>
      <c r="I33" s="256" t="s">
        <v>74</v>
      </c>
      <c r="J33" s="112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</row>
    <row r="34" spans="1:26" ht="7" customHeight="1" x14ac:dyDescent="0.3">
      <c r="A34" s="257"/>
      <c r="B34" s="264"/>
      <c r="C34" s="264"/>
      <c r="D34" s="350"/>
      <c r="E34" s="350"/>
      <c r="F34" s="350"/>
      <c r="G34" s="350"/>
      <c r="H34" s="262"/>
      <c r="I34" s="265"/>
      <c r="J34" s="115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</row>
    <row r="35" spans="1:26" ht="40" customHeight="1" x14ac:dyDescent="0.2">
      <c r="A35" s="255"/>
      <c r="B35" s="314" t="s">
        <v>24</v>
      </c>
      <c r="C35" s="315"/>
      <c r="D35" s="345">
        <f>CHOOSE($M$1,'Исходные данные'!D46,'Исходные данные'!F46,'Исходные данные'!H46)</f>
        <v>550000</v>
      </c>
      <c r="E35" s="345"/>
      <c r="F35" s="345"/>
      <c r="G35" s="345"/>
      <c r="H35" s="345"/>
      <c r="I35" s="256" t="s">
        <v>74</v>
      </c>
      <c r="J35" s="112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</row>
    <row r="36" spans="1:26" ht="7" customHeight="1" x14ac:dyDescent="0.3">
      <c r="A36" s="255"/>
      <c r="B36" s="261"/>
      <c r="C36" s="261"/>
      <c r="D36" s="350"/>
      <c r="E36" s="350"/>
      <c r="F36" s="350"/>
      <c r="G36" s="350"/>
      <c r="H36" s="262"/>
      <c r="I36" s="265"/>
      <c r="J36" s="115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</row>
    <row r="37" spans="1:26" ht="40" customHeight="1" x14ac:dyDescent="0.2">
      <c r="A37" s="255"/>
      <c r="B37" s="314" t="s">
        <v>4</v>
      </c>
      <c r="C37" s="315"/>
      <c r="D37" s="345">
        <f>CHOOSE($M$1,'Исходные данные'!D47,'Исходные данные'!F47,'Исходные данные'!H47)*$D$3</f>
        <v>0</v>
      </c>
      <c r="E37" s="345"/>
      <c r="F37" s="345"/>
      <c r="G37" s="345"/>
      <c r="H37" s="345"/>
      <c r="I37" s="256" t="s">
        <v>74</v>
      </c>
      <c r="J37" s="112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</row>
    <row r="38" spans="1:26" ht="7" customHeight="1" x14ac:dyDescent="0.3">
      <c r="A38" s="255"/>
      <c r="B38" s="261"/>
      <c r="C38" s="261"/>
      <c r="D38" s="350"/>
      <c r="E38" s="350"/>
      <c r="F38" s="350"/>
      <c r="G38" s="350"/>
      <c r="H38" s="262"/>
      <c r="I38" s="265"/>
      <c r="J38" s="115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</row>
    <row r="39" spans="1:26" ht="40" customHeight="1" x14ac:dyDescent="0.2">
      <c r="A39" s="255"/>
      <c r="B39" s="352" t="s">
        <v>0</v>
      </c>
      <c r="C39" s="353"/>
      <c r="D39" s="351">
        <f>D25+D29+D33+D31+D35+D37+D27</f>
        <v>640000</v>
      </c>
      <c r="E39" s="351"/>
      <c r="F39" s="351"/>
      <c r="G39" s="351"/>
      <c r="H39" s="351"/>
      <c r="I39" s="256" t="s">
        <v>74</v>
      </c>
      <c r="J39" s="112"/>
      <c r="K39" s="129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</row>
    <row r="40" spans="1:26" ht="10" customHeight="1" x14ac:dyDescent="0.25">
      <c r="A40" s="349"/>
      <c r="B40" s="349"/>
      <c r="C40" s="349"/>
      <c r="D40" s="349"/>
      <c r="E40" s="349"/>
      <c r="F40" s="349"/>
      <c r="G40" s="349"/>
      <c r="H40" s="349"/>
      <c r="I40" s="349"/>
      <c r="J40" s="112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</row>
    <row r="41" spans="1:26" ht="33.75" customHeight="1" x14ac:dyDescent="0.2">
      <c r="A41" s="250" t="s">
        <v>149</v>
      </c>
      <c r="B41" s="266"/>
      <c r="C41" s="266"/>
      <c r="D41" s="230"/>
      <c r="E41" s="230"/>
      <c r="F41" s="230"/>
      <c r="G41" s="230"/>
      <c r="H41" s="230"/>
      <c r="I41" s="251"/>
    </row>
    <row r="42" spans="1:26" ht="33.75" customHeight="1" x14ac:dyDescent="0.2">
      <c r="A42" s="250"/>
      <c r="B42" s="266"/>
      <c r="C42" s="266"/>
      <c r="D42" s="267" t="s">
        <v>65</v>
      </c>
      <c r="E42" s="257"/>
      <c r="F42" s="354" t="s">
        <v>70</v>
      </c>
      <c r="G42" s="354"/>
      <c r="H42" s="354"/>
      <c r="I42" s="251"/>
    </row>
    <row r="43" spans="1:26" ht="42" customHeight="1" x14ac:dyDescent="0.2">
      <c r="A43" s="257"/>
      <c r="B43" s="373" t="s">
        <v>69</v>
      </c>
      <c r="C43" s="374"/>
      <c r="D43" s="243">
        <f>F43/'Детальный расчет'!$P$43</f>
        <v>8.203371774703018E-2</v>
      </c>
      <c r="E43" s="230"/>
      <c r="F43" s="345">
        <f>'Детальный расчет'!P73</f>
        <v>55187.5</v>
      </c>
      <c r="G43" s="345"/>
      <c r="H43" s="345"/>
      <c r="I43" s="268" t="s">
        <v>75</v>
      </c>
    </row>
    <row r="44" spans="1:26" ht="42" customHeight="1" x14ac:dyDescent="0.2">
      <c r="A44" s="269"/>
      <c r="B44" s="373" t="s">
        <v>103</v>
      </c>
      <c r="C44" s="374"/>
      <c r="D44" s="243">
        <f>F44/'Детальный расчет'!$P$43</f>
        <v>0</v>
      </c>
      <c r="E44" s="230"/>
      <c r="F44" s="345">
        <f>'Детальный расчет'!P74</f>
        <v>0</v>
      </c>
      <c r="G44" s="345"/>
      <c r="H44" s="345"/>
      <c r="I44" s="268" t="s">
        <v>75</v>
      </c>
    </row>
    <row r="45" spans="1:26" ht="42" customHeight="1" x14ac:dyDescent="0.2">
      <c r="A45" s="270"/>
      <c r="B45" s="373" t="str">
        <f>'Исходные данные'!B63</f>
        <v>Бухгалтерия (за все точки)</v>
      </c>
      <c r="C45" s="374"/>
      <c r="D45" s="243">
        <f>F45/'Детальный расчет'!$P$43</f>
        <v>1.4864546817128911E-2</v>
      </c>
      <c r="E45" s="230"/>
      <c r="F45" s="355">
        <f>CHOOSE($M$1,'Исходные данные'!$D$63,'Исходные данные'!$F$63,'Исходные данные'!$H$63)</f>
        <v>10000</v>
      </c>
      <c r="G45" s="355"/>
      <c r="H45" s="355"/>
      <c r="I45" s="268" t="s">
        <v>75</v>
      </c>
    </row>
    <row r="46" spans="1:26" ht="42" customHeight="1" x14ac:dyDescent="0.2">
      <c r="A46" s="270"/>
      <c r="B46" s="373" t="str">
        <f>'Исходные данные'!B64</f>
        <v>1С (за все точки)</v>
      </c>
      <c r="C46" s="374"/>
      <c r="D46" s="243">
        <f>F46/'Детальный расчет'!$P$43</f>
        <v>0</v>
      </c>
      <c r="E46" s="230"/>
      <c r="F46" s="355">
        <f>CHOOSE($M$1,'Исходные данные'!$D$64,'Исходные данные'!$F$64,'Исходные данные'!$H$64)</f>
        <v>0</v>
      </c>
      <c r="G46" s="355"/>
      <c r="H46" s="355"/>
      <c r="I46" s="268" t="s">
        <v>75</v>
      </c>
      <c r="J46" s="129"/>
    </row>
    <row r="47" spans="1:26" ht="42" customHeight="1" x14ac:dyDescent="0.2">
      <c r="A47" s="255"/>
      <c r="B47" s="375" t="s">
        <v>2</v>
      </c>
      <c r="C47" s="376"/>
      <c r="D47" s="243">
        <f>F47/'Детальный расчет'!$P$43</f>
        <v>2.9729093634257821E-2</v>
      </c>
      <c r="E47" s="271"/>
      <c r="F47" s="319">
        <f>CHOOSE($M$1,'Исходные данные'!D65,'Исходные данные'!F65,'Исходные данные'!H65)*$D$3</f>
        <v>20000</v>
      </c>
      <c r="G47" s="319"/>
      <c r="H47" s="319"/>
      <c r="I47" s="268" t="s">
        <v>75</v>
      </c>
      <c r="J47" s="117"/>
      <c r="K47" s="110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42" customHeight="1" x14ac:dyDescent="0.2">
      <c r="A48" s="257"/>
      <c r="B48" s="373" t="s">
        <v>3</v>
      </c>
      <c r="C48" s="374"/>
      <c r="D48" s="243">
        <f>F48/'Детальный расчет'!$P$43</f>
        <v>2.9729093634257822E-3</v>
      </c>
      <c r="E48" s="230"/>
      <c r="F48" s="345">
        <f>CHOOSE($M$1,'Исходные данные'!$D$66,'Исходные данные'!$F$66,'Исходные данные'!$H$66)*$D$3</f>
        <v>2000</v>
      </c>
      <c r="G48" s="345"/>
      <c r="H48" s="345"/>
      <c r="I48" s="268" t="s">
        <v>75</v>
      </c>
    </row>
    <row r="49" spans="1:25" ht="42" customHeight="1" x14ac:dyDescent="0.2">
      <c r="A49" s="257"/>
      <c r="B49" s="373" t="s">
        <v>26</v>
      </c>
      <c r="C49" s="374"/>
      <c r="D49" s="243">
        <f>F49/'Детальный расчет'!$P$43</f>
        <v>2.2296820225693368E-3</v>
      </c>
      <c r="E49" s="230"/>
      <c r="F49" s="345">
        <f>CHOOSE($M$1,'Исходные данные'!$D$67,'Исходные данные'!$F$67,'Исходные данные'!$H$67)*$D$3</f>
        <v>1500</v>
      </c>
      <c r="G49" s="345"/>
      <c r="H49" s="345"/>
      <c r="I49" s="268" t="s">
        <v>75</v>
      </c>
    </row>
    <row r="50" spans="1:25" ht="42" customHeight="1" x14ac:dyDescent="0.2">
      <c r="A50" s="257"/>
      <c r="B50" s="373" t="s">
        <v>58</v>
      </c>
      <c r="C50" s="374"/>
      <c r="D50" s="243">
        <f>F50/'Детальный расчет'!$P$43</f>
        <v>1.4864546817128911E-3</v>
      </c>
      <c r="E50" s="230"/>
      <c r="F50" s="345">
        <f>CHOOSE($M$1,'Исходные данные'!$D$68,'Исходные данные'!$F$68,'Исходные данные'!$H$68)*$D$3</f>
        <v>1000</v>
      </c>
      <c r="G50" s="345"/>
      <c r="H50" s="345"/>
      <c r="I50" s="268" t="s">
        <v>75</v>
      </c>
    </row>
    <row r="51" spans="1:25" ht="42" customHeight="1" x14ac:dyDescent="0.2">
      <c r="A51" s="257"/>
      <c r="B51" s="373" t="s">
        <v>28</v>
      </c>
      <c r="C51" s="374"/>
      <c r="D51" s="243">
        <f>F51/'Детальный расчет'!$P$43</f>
        <v>1.7837456180554694E-3</v>
      </c>
      <c r="E51" s="230"/>
      <c r="F51" s="345">
        <f>CHOOSE($M$1,'Исходные данные'!$D$69,'Исходные данные'!$F$69,'Исходные данные'!$H$69)*$D$3</f>
        <v>1200</v>
      </c>
      <c r="G51" s="345"/>
      <c r="H51" s="345"/>
      <c r="I51" s="268" t="s">
        <v>75</v>
      </c>
    </row>
    <row r="52" spans="1:25" ht="42" customHeight="1" x14ac:dyDescent="0.2">
      <c r="A52" s="257"/>
      <c r="B52" s="373" t="s">
        <v>29</v>
      </c>
      <c r="C52" s="374"/>
      <c r="D52" s="243">
        <f>F52/'Детальный расчет'!$P$43</f>
        <v>0</v>
      </c>
      <c r="E52" s="230"/>
      <c r="F52" s="345">
        <f>CHOOSE($M$1,'Исходные данные'!$D$70,'Исходные данные'!$F$70,'Исходные данные'!$H$70)*$D$3</f>
        <v>0</v>
      </c>
      <c r="G52" s="345"/>
      <c r="H52" s="345"/>
      <c r="I52" s="268" t="s">
        <v>75</v>
      </c>
    </row>
    <row r="53" spans="1:25" ht="42" customHeight="1" x14ac:dyDescent="0.2">
      <c r="A53" s="257"/>
      <c r="B53" s="373" t="s">
        <v>59</v>
      </c>
      <c r="C53" s="374"/>
      <c r="D53" s="243">
        <f>F53/'Детальный расчет'!$P$43</f>
        <v>1.4864546817128911E-2</v>
      </c>
      <c r="E53" s="230"/>
      <c r="F53" s="345">
        <f>CHOOSE($M$1,'Исходные данные'!$D$71,'Исходные данные'!$F$71,'Исходные данные'!$H$71)*$D$3</f>
        <v>10000</v>
      </c>
      <c r="G53" s="345"/>
      <c r="H53" s="345"/>
      <c r="I53" s="268" t="s">
        <v>75</v>
      </c>
    </row>
    <row r="54" spans="1:25" ht="42" customHeight="1" x14ac:dyDescent="0.2">
      <c r="A54" s="257"/>
      <c r="B54" s="373" t="s">
        <v>27</v>
      </c>
      <c r="C54" s="374"/>
      <c r="D54" s="243">
        <f>F54/'Детальный расчет'!$P$43</f>
        <v>4.4593640451386736E-3</v>
      </c>
      <c r="E54" s="230"/>
      <c r="F54" s="345">
        <f>CHOOSE($M$1,'Исходные данные'!$D$72,'Исходные данные'!$F$72,'Исходные данные'!$H$72)*$D$3</f>
        <v>3000</v>
      </c>
      <c r="G54" s="345"/>
      <c r="H54" s="345"/>
      <c r="I54" s="268" t="s">
        <v>75</v>
      </c>
    </row>
    <row r="55" spans="1:25" ht="42" customHeight="1" x14ac:dyDescent="0.2">
      <c r="A55" s="257"/>
      <c r="B55" s="230"/>
      <c r="C55" s="272" t="s">
        <v>5</v>
      </c>
      <c r="D55" s="273">
        <f>SUM(D43:D54)</f>
        <v>0.15442406074644796</v>
      </c>
      <c r="E55" s="230"/>
      <c r="F55" s="346">
        <f>SUM(F43:H54)</f>
        <v>103887.5</v>
      </c>
      <c r="G55" s="346"/>
      <c r="H55" s="346"/>
      <c r="I55" s="268" t="s">
        <v>74</v>
      </c>
    </row>
    <row r="56" spans="1:25" ht="21" x14ac:dyDescent="0.25">
      <c r="A56" s="349" t="s">
        <v>66</v>
      </c>
      <c r="B56" s="349"/>
      <c r="C56" s="349"/>
      <c r="D56" s="349"/>
      <c r="E56" s="349"/>
      <c r="F56" s="349"/>
      <c r="G56" s="349"/>
      <c r="H56" s="349"/>
      <c r="I56" s="349"/>
      <c r="J56" s="112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</row>
    <row r="57" spans="1:25" x14ac:dyDescent="0.2">
      <c r="A57" s="257"/>
      <c r="B57" s="257"/>
      <c r="C57" s="257"/>
      <c r="D57" s="257"/>
      <c r="E57" s="257"/>
      <c r="F57" s="274"/>
      <c r="G57" s="274"/>
      <c r="H57" s="274"/>
      <c r="I57" s="257"/>
    </row>
    <row r="58" spans="1:25" ht="45" customHeight="1" x14ac:dyDescent="0.2">
      <c r="A58" s="347" t="s">
        <v>67</v>
      </c>
      <c r="B58" s="347"/>
      <c r="C58" s="348"/>
      <c r="D58" s="344">
        <f>'Детальный расчет'!P96</f>
        <v>568854.16666666663</v>
      </c>
      <c r="E58" s="344"/>
      <c r="F58" s="344"/>
      <c r="G58" s="344"/>
      <c r="H58" s="344"/>
      <c r="I58" s="268" t="s">
        <v>74</v>
      </c>
    </row>
    <row r="59" spans="1:25" ht="7" customHeight="1" x14ac:dyDescent="0.3">
      <c r="A59" s="275"/>
      <c r="B59" s="275"/>
      <c r="C59" s="275"/>
      <c r="D59" s="257"/>
      <c r="E59" s="257"/>
      <c r="F59" s="230"/>
      <c r="G59" s="274"/>
      <c r="H59" s="274"/>
      <c r="I59" s="274"/>
    </row>
    <row r="60" spans="1:25" ht="45" customHeight="1" x14ac:dyDescent="0.2">
      <c r="A60" s="347" t="s">
        <v>68</v>
      </c>
      <c r="B60" s="347"/>
      <c r="C60" s="348"/>
      <c r="D60" s="344">
        <f>'Детальный расчет'!AD96</f>
        <v>625770</v>
      </c>
      <c r="E60" s="344"/>
      <c r="F60" s="344"/>
      <c r="G60" s="344"/>
      <c r="H60" s="344"/>
      <c r="I60" s="268" t="s">
        <v>74</v>
      </c>
    </row>
    <row r="61" spans="1:25" ht="7" customHeight="1" x14ac:dyDescent="0.3">
      <c r="A61" s="275"/>
      <c r="B61" s="275"/>
      <c r="C61" s="275"/>
      <c r="D61" s="257"/>
      <c r="E61" s="257"/>
      <c r="F61" s="230"/>
      <c r="G61" s="274"/>
      <c r="H61" s="274"/>
      <c r="I61" s="274"/>
    </row>
    <row r="62" spans="1:25" ht="45" customHeight="1" x14ac:dyDescent="0.2">
      <c r="A62" s="342" t="s">
        <v>73</v>
      </c>
      <c r="B62" s="342"/>
      <c r="C62" s="343"/>
      <c r="D62" s="344">
        <f>'Детальный расчет'!B120</f>
        <v>2</v>
      </c>
      <c r="E62" s="344"/>
      <c r="F62" s="344"/>
      <c r="G62" s="344"/>
      <c r="H62" s="344"/>
      <c r="I62" s="268" t="s">
        <v>7</v>
      </c>
    </row>
    <row r="63" spans="1:25" ht="7" customHeight="1" x14ac:dyDescent="0.3">
      <c r="A63" s="275"/>
      <c r="B63" s="275"/>
      <c r="C63" s="275"/>
      <c r="D63" s="257"/>
      <c r="E63" s="257"/>
      <c r="F63" s="230"/>
      <c r="G63" s="274"/>
      <c r="H63" s="274"/>
      <c r="I63" s="274"/>
    </row>
    <row r="64" spans="1:25" ht="45" customHeight="1" x14ac:dyDescent="0.2">
      <c r="A64" s="342" t="s">
        <v>6</v>
      </c>
      <c r="B64" s="342"/>
      <c r="C64" s="343"/>
      <c r="D64" s="344">
        <f>'Детальный расчет'!B119</f>
        <v>3</v>
      </c>
      <c r="E64" s="344"/>
      <c r="F64" s="344"/>
      <c r="G64" s="344"/>
      <c r="H64" s="344"/>
      <c r="I64" s="268" t="s">
        <v>7</v>
      </c>
    </row>
    <row r="65" spans="1:9" ht="7" customHeight="1" x14ac:dyDescent="0.2">
      <c r="A65" s="5"/>
      <c r="B65" s="5"/>
      <c r="C65" s="5"/>
      <c r="D65" s="5"/>
      <c r="E65" s="5"/>
      <c r="F65" s="6"/>
      <c r="G65" s="6"/>
      <c r="H65" s="6"/>
      <c r="I65" s="5"/>
    </row>
  </sheetData>
  <sheetProtection formatCells="0" formatColumns="0" formatRows="0" insertColumns="0" insertRows="0" insertHyperlinks="0" deleteColumns="0" deleteRows="0" sort="0" autoFilter="0" pivotTables="0"/>
  <mergeCells count="92">
    <mergeCell ref="A21:C21"/>
    <mergeCell ref="B43:C43"/>
    <mergeCell ref="E21:G21"/>
    <mergeCell ref="H21:I21"/>
    <mergeCell ref="F8:G8"/>
    <mergeCell ref="D8:E8"/>
    <mergeCell ref="H19:I19"/>
    <mergeCell ref="H10:I11"/>
    <mergeCell ref="A10:C12"/>
    <mergeCell ref="B33:C33"/>
    <mergeCell ref="D27:H27"/>
    <mergeCell ref="D25:H25"/>
    <mergeCell ref="D34:G34"/>
    <mergeCell ref="D33:H33"/>
    <mergeCell ref="B31:C31"/>
    <mergeCell ref="B25:C25"/>
    <mergeCell ref="A1:I1"/>
    <mergeCell ref="A5:C6"/>
    <mergeCell ref="H6:I6"/>
    <mergeCell ref="F5:G5"/>
    <mergeCell ref="F6:G6"/>
    <mergeCell ref="D5:E5"/>
    <mergeCell ref="D6:E6"/>
    <mergeCell ref="H5:I5"/>
    <mergeCell ref="B49:C49"/>
    <mergeCell ref="B47:C47"/>
    <mergeCell ref="B48:C48"/>
    <mergeCell ref="B46:C46"/>
    <mergeCell ref="B44:C44"/>
    <mergeCell ref="B29:C29"/>
    <mergeCell ref="D29:H29"/>
    <mergeCell ref="B27:C27"/>
    <mergeCell ref="D32:G32"/>
    <mergeCell ref="D31:H31"/>
    <mergeCell ref="F42:H42"/>
    <mergeCell ref="F43:H43"/>
    <mergeCell ref="F44:H44"/>
    <mergeCell ref="F46:H46"/>
    <mergeCell ref="B54:C54"/>
    <mergeCell ref="B52:C52"/>
    <mergeCell ref="B53:C53"/>
    <mergeCell ref="B50:C50"/>
    <mergeCell ref="B51:C51"/>
    <mergeCell ref="F47:H47"/>
    <mergeCell ref="F48:H48"/>
    <mergeCell ref="F49:H49"/>
    <mergeCell ref="F50:H50"/>
    <mergeCell ref="F51:H51"/>
    <mergeCell ref="B45:C45"/>
    <mergeCell ref="F45:H45"/>
    <mergeCell ref="D36:G36"/>
    <mergeCell ref="D35:H35"/>
    <mergeCell ref="D37:H37"/>
    <mergeCell ref="D39:H39"/>
    <mergeCell ref="A40:I40"/>
    <mergeCell ref="B39:C39"/>
    <mergeCell ref="D38:G38"/>
    <mergeCell ref="B37:C37"/>
    <mergeCell ref="B35:C35"/>
    <mergeCell ref="A64:C64"/>
    <mergeCell ref="A62:C62"/>
    <mergeCell ref="D62:H62"/>
    <mergeCell ref="D64:H64"/>
    <mergeCell ref="F52:H52"/>
    <mergeCell ref="F53:H53"/>
    <mergeCell ref="F54:H54"/>
    <mergeCell ref="F55:H55"/>
    <mergeCell ref="A58:C58"/>
    <mergeCell ref="A60:C60"/>
    <mergeCell ref="D60:H60"/>
    <mergeCell ref="D58:H58"/>
    <mergeCell ref="A56:I56"/>
    <mergeCell ref="A19:C19"/>
    <mergeCell ref="F11:G11"/>
    <mergeCell ref="E10:G10"/>
    <mergeCell ref="D10:D11"/>
    <mergeCell ref="F19:G19"/>
    <mergeCell ref="A17:C17"/>
    <mergeCell ref="F17:G17"/>
    <mergeCell ref="D14:E14"/>
    <mergeCell ref="D15:E15"/>
    <mergeCell ref="F14:G14"/>
    <mergeCell ref="F15:G15"/>
    <mergeCell ref="A14:C15"/>
    <mergeCell ref="F12:G12"/>
    <mergeCell ref="H17:I17"/>
    <mergeCell ref="A18:C18"/>
    <mergeCell ref="F18:G18"/>
    <mergeCell ref="H18:I18"/>
    <mergeCell ref="A8:C8"/>
    <mergeCell ref="H8:I8"/>
    <mergeCell ref="H12:I1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2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Drop Down 1">
              <controlPr locked="0" defaultSize="0" autoLine="0" autoPict="0">
                <anchor moveWithCells="1">
                  <from>
                    <xdr:col>1</xdr:col>
                    <xdr:colOff>1473200</xdr:colOff>
                    <xdr:row>1</xdr:row>
                    <xdr:rowOff>63500</xdr:rowOff>
                  </from>
                  <to>
                    <xdr:col>3</xdr:col>
                    <xdr:colOff>939800</xdr:colOff>
                    <xdr:row>1</xdr:row>
                    <xdr:rowOff>355600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098" r:id="rId4" name="Drop Down 2">
              <controlPr locked="0" defaultSize="0" autoLine="0" autoPict="0">
                <anchor moveWithCells="1">
                  <from>
                    <xdr:col>7</xdr:col>
                    <xdr:colOff>88900</xdr:colOff>
                    <xdr:row>1</xdr:row>
                    <xdr:rowOff>38100</xdr:rowOff>
                  </from>
                  <to>
                    <xdr:col>8</xdr:col>
                    <xdr:colOff>787400</xdr:colOff>
                    <xdr:row>1</xdr:row>
                    <xdr:rowOff>355600</xdr:rowOff>
                  </to>
                </anchor>
              </controlPr>
            </control>
          </mc:Choice>
          <mc:Fallback/>
        </mc:AlternateContent>
      </controls>
    </mc:Choice>
    <mc:Fallback/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AT140"/>
  <sheetViews>
    <sheetView zoomScaleSheetLayoutView="70" workbookViewId="0">
      <pane xSplit="2" ySplit="11" topLeftCell="C34" activePane="bottomRight" state="frozen"/>
      <selection pane="topRight" activeCell="C1" sqref="C1"/>
      <selection pane="bottomLeft" activeCell="A17" sqref="A17"/>
      <selection pane="bottomRight" activeCell="G34" sqref="G34"/>
    </sheetView>
  </sheetViews>
  <sheetFormatPr baseColWidth="10" defaultColWidth="8.83203125" defaultRowHeight="13" outlineLevelCol="1" x14ac:dyDescent="0.15"/>
  <cols>
    <col min="1" max="1" width="58.1640625" style="12" customWidth="1"/>
    <col min="2" max="2" width="12.5" style="12" customWidth="1" collapsed="1"/>
    <col min="3" max="14" width="11" style="11" hidden="1" customWidth="1" outlineLevel="1"/>
    <col min="15" max="15" width="11" style="136" customWidth="1"/>
    <col min="16" max="16" width="13.83203125" style="136" customWidth="1"/>
    <col min="17" max="28" width="11" style="11" customWidth="1" outlineLevel="1"/>
    <col min="29" max="29" width="11" style="136" customWidth="1"/>
    <col min="30" max="30" width="14.33203125" style="136" customWidth="1"/>
    <col min="31" max="42" width="11" style="11" customWidth="1" outlineLevel="1"/>
    <col min="43" max="43" width="11" style="136" customWidth="1"/>
    <col min="44" max="44" width="14.33203125" style="136" customWidth="1"/>
    <col min="45" max="45" width="12.83203125" style="11" customWidth="1"/>
    <col min="46" max="46" width="10" style="11" bestFit="1" customWidth="1"/>
    <col min="47" max="285" width="8.83203125" style="11"/>
    <col min="286" max="286" width="53" style="11" customWidth="1"/>
    <col min="287" max="287" width="14.5" style="11" customWidth="1"/>
    <col min="288" max="300" width="11" style="11" customWidth="1"/>
    <col min="301" max="301" width="12.83203125" style="11" customWidth="1"/>
    <col min="302" max="302" width="10" style="11" bestFit="1" customWidth="1"/>
    <col min="303" max="541" width="8.83203125" style="11"/>
    <col min="542" max="542" width="53" style="11" customWidth="1"/>
    <col min="543" max="543" width="14.5" style="11" customWidth="1"/>
    <col min="544" max="556" width="11" style="11" customWidth="1"/>
    <col min="557" max="557" width="12.83203125" style="11" customWidth="1"/>
    <col min="558" max="558" width="10" style="11" bestFit="1" customWidth="1"/>
    <col min="559" max="797" width="8.83203125" style="11"/>
    <col min="798" max="798" width="53" style="11" customWidth="1"/>
    <col min="799" max="799" width="14.5" style="11" customWidth="1"/>
    <col min="800" max="812" width="11" style="11" customWidth="1"/>
    <col min="813" max="813" width="12.83203125" style="11" customWidth="1"/>
    <col min="814" max="814" width="10" style="11" bestFit="1" customWidth="1"/>
    <col min="815" max="1053" width="8.83203125" style="11"/>
    <col min="1054" max="1054" width="53" style="11" customWidth="1"/>
    <col min="1055" max="1055" width="14.5" style="11" customWidth="1"/>
    <col min="1056" max="1068" width="11" style="11" customWidth="1"/>
    <col min="1069" max="1069" width="12.83203125" style="11" customWidth="1"/>
    <col min="1070" max="1070" width="10" style="11" bestFit="1" customWidth="1"/>
    <col min="1071" max="1309" width="8.83203125" style="11"/>
    <col min="1310" max="1310" width="53" style="11" customWidth="1"/>
    <col min="1311" max="1311" width="14.5" style="11" customWidth="1"/>
    <col min="1312" max="1324" width="11" style="11" customWidth="1"/>
    <col min="1325" max="1325" width="12.83203125" style="11" customWidth="1"/>
    <col min="1326" max="1326" width="10" style="11" bestFit="1" customWidth="1"/>
    <col min="1327" max="1565" width="8.83203125" style="11"/>
    <col min="1566" max="1566" width="53" style="11" customWidth="1"/>
    <col min="1567" max="1567" width="14.5" style="11" customWidth="1"/>
    <col min="1568" max="1580" width="11" style="11" customWidth="1"/>
    <col min="1581" max="1581" width="12.83203125" style="11" customWidth="1"/>
    <col min="1582" max="1582" width="10" style="11" bestFit="1" customWidth="1"/>
    <col min="1583" max="1821" width="8.83203125" style="11"/>
    <col min="1822" max="1822" width="53" style="11" customWidth="1"/>
    <col min="1823" max="1823" width="14.5" style="11" customWidth="1"/>
    <col min="1824" max="1836" width="11" style="11" customWidth="1"/>
    <col min="1837" max="1837" width="12.83203125" style="11" customWidth="1"/>
    <col min="1838" max="1838" width="10" style="11" bestFit="1" customWidth="1"/>
    <col min="1839" max="2077" width="8.83203125" style="11"/>
    <col min="2078" max="2078" width="53" style="11" customWidth="1"/>
    <col min="2079" max="2079" width="14.5" style="11" customWidth="1"/>
    <col min="2080" max="2092" width="11" style="11" customWidth="1"/>
    <col min="2093" max="2093" width="12.83203125" style="11" customWidth="1"/>
    <col min="2094" max="2094" width="10" style="11" bestFit="1" customWidth="1"/>
    <col min="2095" max="2333" width="8.83203125" style="11"/>
    <col min="2334" max="2334" width="53" style="11" customWidth="1"/>
    <col min="2335" max="2335" width="14.5" style="11" customWidth="1"/>
    <col min="2336" max="2348" width="11" style="11" customWidth="1"/>
    <col min="2349" max="2349" width="12.83203125" style="11" customWidth="1"/>
    <col min="2350" max="2350" width="10" style="11" bestFit="1" customWidth="1"/>
    <col min="2351" max="2589" width="8.83203125" style="11"/>
    <col min="2590" max="2590" width="53" style="11" customWidth="1"/>
    <col min="2591" max="2591" width="14.5" style="11" customWidth="1"/>
    <col min="2592" max="2604" width="11" style="11" customWidth="1"/>
    <col min="2605" max="2605" width="12.83203125" style="11" customWidth="1"/>
    <col min="2606" max="2606" width="10" style="11" bestFit="1" customWidth="1"/>
    <col min="2607" max="2845" width="8.83203125" style="11"/>
    <col min="2846" max="2846" width="53" style="11" customWidth="1"/>
    <col min="2847" max="2847" width="14.5" style="11" customWidth="1"/>
    <col min="2848" max="2860" width="11" style="11" customWidth="1"/>
    <col min="2861" max="2861" width="12.83203125" style="11" customWidth="1"/>
    <col min="2862" max="2862" width="10" style="11" bestFit="1" customWidth="1"/>
    <col min="2863" max="3101" width="8.83203125" style="11"/>
    <col min="3102" max="3102" width="53" style="11" customWidth="1"/>
    <col min="3103" max="3103" width="14.5" style="11" customWidth="1"/>
    <col min="3104" max="3116" width="11" style="11" customWidth="1"/>
    <col min="3117" max="3117" width="12.83203125" style="11" customWidth="1"/>
    <col min="3118" max="3118" width="10" style="11" bestFit="1" customWidth="1"/>
    <col min="3119" max="3357" width="8.83203125" style="11"/>
    <col min="3358" max="3358" width="53" style="11" customWidth="1"/>
    <col min="3359" max="3359" width="14.5" style="11" customWidth="1"/>
    <col min="3360" max="3372" width="11" style="11" customWidth="1"/>
    <col min="3373" max="3373" width="12.83203125" style="11" customWidth="1"/>
    <col min="3374" max="3374" width="10" style="11" bestFit="1" customWidth="1"/>
    <col min="3375" max="3613" width="8.83203125" style="11"/>
    <col min="3614" max="3614" width="53" style="11" customWidth="1"/>
    <col min="3615" max="3615" width="14.5" style="11" customWidth="1"/>
    <col min="3616" max="3628" width="11" style="11" customWidth="1"/>
    <col min="3629" max="3629" width="12.83203125" style="11" customWidth="1"/>
    <col min="3630" max="3630" width="10" style="11" bestFit="1" customWidth="1"/>
    <col min="3631" max="3869" width="8.83203125" style="11"/>
    <col min="3870" max="3870" width="53" style="11" customWidth="1"/>
    <col min="3871" max="3871" width="14.5" style="11" customWidth="1"/>
    <col min="3872" max="3884" width="11" style="11" customWidth="1"/>
    <col min="3885" max="3885" width="12.83203125" style="11" customWidth="1"/>
    <col min="3886" max="3886" width="10" style="11" bestFit="1" customWidth="1"/>
    <col min="3887" max="4125" width="8.83203125" style="11"/>
    <col min="4126" max="4126" width="53" style="11" customWidth="1"/>
    <col min="4127" max="4127" width="14.5" style="11" customWidth="1"/>
    <col min="4128" max="4140" width="11" style="11" customWidth="1"/>
    <col min="4141" max="4141" width="12.83203125" style="11" customWidth="1"/>
    <col min="4142" max="4142" width="10" style="11" bestFit="1" customWidth="1"/>
    <col min="4143" max="4381" width="8.83203125" style="11"/>
    <col min="4382" max="4382" width="53" style="11" customWidth="1"/>
    <col min="4383" max="4383" width="14.5" style="11" customWidth="1"/>
    <col min="4384" max="4396" width="11" style="11" customWidth="1"/>
    <col min="4397" max="4397" width="12.83203125" style="11" customWidth="1"/>
    <col min="4398" max="4398" width="10" style="11" bestFit="1" customWidth="1"/>
    <col min="4399" max="4637" width="8.83203125" style="11"/>
    <col min="4638" max="4638" width="53" style="11" customWidth="1"/>
    <col min="4639" max="4639" width="14.5" style="11" customWidth="1"/>
    <col min="4640" max="4652" width="11" style="11" customWidth="1"/>
    <col min="4653" max="4653" width="12.83203125" style="11" customWidth="1"/>
    <col min="4654" max="4654" width="10" style="11" bestFit="1" customWidth="1"/>
    <col min="4655" max="4893" width="8.83203125" style="11"/>
    <col min="4894" max="4894" width="53" style="11" customWidth="1"/>
    <col min="4895" max="4895" width="14.5" style="11" customWidth="1"/>
    <col min="4896" max="4908" width="11" style="11" customWidth="1"/>
    <col min="4909" max="4909" width="12.83203125" style="11" customWidth="1"/>
    <col min="4910" max="4910" width="10" style="11" bestFit="1" customWidth="1"/>
    <col min="4911" max="5149" width="8.83203125" style="11"/>
    <col min="5150" max="5150" width="53" style="11" customWidth="1"/>
    <col min="5151" max="5151" width="14.5" style="11" customWidth="1"/>
    <col min="5152" max="5164" width="11" style="11" customWidth="1"/>
    <col min="5165" max="5165" width="12.83203125" style="11" customWidth="1"/>
    <col min="5166" max="5166" width="10" style="11" bestFit="1" customWidth="1"/>
    <col min="5167" max="5405" width="8.83203125" style="11"/>
    <col min="5406" max="5406" width="53" style="11" customWidth="1"/>
    <col min="5407" max="5407" width="14.5" style="11" customWidth="1"/>
    <col min="5408" max="5420" width="11" style="11" customWidth="1"/>
    <col min="5421" max="5421" width="12.83203125" style="11" customWidth="1"/>
    <col min="5422" max="5422" width="10" style="11" bestFit="1" customWidth="1"/>
    <col min="5423" max="5661" width="8.83203125" style="11"/>
    <col min="5662" max="5662" width="53" style="11" customWidth="1"/>
    <col min="5663" max="5663" width="14.5" style="11" customWidth="1"/>
    <col min="5664" max="5676" width="11" style="11" customWidth="1"/>
    <col min="5677" max="5677" width="12.83203125" style="11" customWidth="1"/>
    <col min="5678" max="5678" width="10" style="11" bestFit="1" customWidth="1"/>
    <col min="5679" max="5917" width="8.83203125" style="11"/>
    <col min="5918" max="5918" width="53" style="11" customWidth="1"/>
    <col min="5919" max="5919" width="14.5" style="11" customWidth="1"/>
    <col min="5920" max="5932" width="11" style="11" customWidth="1"/>
    <col min="5933" max="5933" width="12.83203125" style="11" customWidth="1"/>
    <col min="5934" max="5934" width="10" style="11" bestFit="1" customWidth="1"/>
    <col min="5935" max="6173" width="8.83203125" style="11"/>
    <col min="6174" max="6174" width="53" style="11" customWidth="1"/>
    <col min="6175" max="6175" width="14.5" style="11" customWidth="1"/>
    <col min="6176" max="6188" width="11" style="11" customWidth="1"/>
    <col min="6189" max="6189" width="12.83203125" style="11" customWidth="1"/>
    <col min="6190" max="6190" width="10" style="11" bestFit="1" customWidth="1"/>
    <col min="6191" max="6429" width="8.83203125" style="11"/>
    <col min="6430" max="6430" width="53" style="11" customWidth="1"/>
    <col min="6431" max="6431" width="14.5" style="11" customWidth="1"/>
    <col min="6432" max="6444" width="11" style="11" customWidth="1"/>
    <col min="6445" max="6445" width="12.83203125" style="11" customWidth="1"/>
    <col min="6446" max="6446" width="10" style="11" bestFit="1" customWidth="1"/>
    <col min="6447" max="6685" width="8.83203125" style="11"/>
    <col min="6686" max="6686" width="53" style="11" customWidth="1"/>
    <col min="6687" max="6687" width="14.5" style="11" customWidth="1"/>
    <col min="6688" max="6700" width="11" style="11" customWidth="1"/>
    <col min="6701" max="6701" width="12.83203125" style="11" customWidth="1"/>
    <col min="6702" max="6702" width="10" style="11" bestFit="1" customWidth="1"/>
    <col min="6703" max="6941" width="8.83203125" style="11"/>
    <col min="6942" max="6942" width="53" style="11" customWidth="1"/>
    <col min="6943" max="6943" width="14.5" style="11" customWidth="1"/>
    <col min="6944" max="6956" width="11" style="11" customWidth="1"/>
    <col min="6957" max="6957" width="12.83203125" style="11" customWidth="1"/>
    <col min="6958" max="6958" width="10" style="11" bestFit="1" customWidth="1"/>
    <col min="6959" max="7197" width="8.83203125" style="11"/>
    <col min="7198" max="7198" width="53" style="11" customWidth="1"/>
    <col min="7199" max="7199" width="14.5" style="11" customWidth="1"/>
    <col min="7200" max="7212" width="11" style="11" customWidth="1"/>
    <col min="7213" max="7213" width="12.83203125" style="11" customWidth="1"/>
    <col min="7214" max="7214" width="10" style="11" bestFit="1" customWidth="1"/>
    <col min="7215" max="7453" width="8.83203125" style="11"/>
    <col min="7454" max="7454" width="53" style="11" customWidth="1"/>
    <col min="7455" max="7455" width="14.5" style="11" customWidth="1"/>
    <col min="7456" max="7468" width="11" style="11" customWidth="1"/>
    <col min="7469" max="7469" width="12.83203125" style="11" customWidth="1"/>
    <col min="7470" max="7470" width="10" style="11" bestFit="1" customWidth="1"/>
    <col min="7471" max="7709" width="8.83203125" style="11"/>
    <col min="7710" max="7710" width="53" style="11" customWidth="1"/>
    <col min="7711" max="7711" width="14.5" style="11" customWidth="1"/>
    <col min="7712" max="7724" width="11" style="11" customWidth="1"/>
    <col min="7725" max="7725" width="12.83203125" style="11" customWidth="1"/>
    <col min="7726" max="7726" width="10" style="11" bestFit="1" customWidth="1"/>
    <col min="7727" max="7965" width="8.83203125" style="11"/>
    <col min="7966" max="7966" width="53" style="11" customWidth="1"/>
    <col min="7967" max="7967" width="14.5" style="11" customWidth="1"/>
    <col min="7968" max="7980" width="11" style="11" customWidth="1"/>
    <col min="7981" max="7981" width="12.83203125" style="11" customWidth="1"/>
    <col min="7982" max="7982" width="10" style="11" bestFit="1" customWidth="1"/>
    <col min="7983" max="8221" width="8.83203125" style="11"/>
    <col min="8222" max="8222" width="53" style="11" customWidth="1"/>
    <col min="8223" max="8223" width="14.5" style="11" customWidth="1"/>
    <col min="8224" max="8236" width="11" style="11" customWidth="1"/>
    <col min="8237" max="8237" width="12.83203125" style="11" customWidth="1"/>
    <col min="8238" max="8238" width="10" style="11" bestFit="1" customWidth="1"/>
    <col min="8239" max="8477" width="8.83203125" style="11"/>
    <col min="8478" max="8478" width="53" style="11" customWidth="1"/>
    <col min="8479" max="8479" width="14.5" style="11" customWidth="1"/>
    <col min="8480" max="8492" width="11" style="11" customWidth="1"/>
    <col min="8493" max="8493" width="12.83203125" style="11" customWidth="1"/>
    <col min="8494" max="8494" width="10" style="11" bestFit="1" customWidth="1"/>
    <col min="8495" max="8733" width="8.83203125" style="11"/>
    <col min="8734" max="8734" width="53" style="11" customWidth="1"/>
    <col min="8735" max="8735" width="14.5" style="11" customWidth="1"/>
    <col min="8736" max="8748" width="11" style="11" customWidth="1"/>
    <col min="8749" max="8749" width="12.83203125" style="11" customWidth="1"/>
    <col min="8750" max="8750" width="10" style="11" bestFit="1" customWidth="1"/>
    <col min="8751" max="8989" width="8.83203125" style="11"/>
    <col min="8990" max="8990" width="53" style="11" customWidth="1"/>
    <col min="8991" max="8991" width="14.5" style="11" customWidth="1"/>
    <col min="8992" max="9004" width="11" style="11" customWidth="1"/>
    <col min="9005" max="9005" width="12.83203125" style="11" customWidth="1"/>
    <col min="9006" max="9006" width="10" style="11" bestFit="1" customWidth="1"/>
    <col min="9007" max="9245" width="8.83203125" style="11"/>
    <col min="9246" max="9246" width="53" style="11" customWidth="1"/>
    <col min="9247" max="9247" width="14.5" style="11" customWidth="1"/>
    <col min="9248" max="9260" width="11" style="11" customWidth="1"/>
    <col min="9261" max="9261" width="12.83203125" style="11" customWidth="1"/>
    <col min="9262" max="9262" width="10" style="11" bestFit="1" customWidth="1"/>
    <col min="9263" max="9501" width="8.83203125" style="11"/>
    <col min="9502" max="9502" width="53" style="11" customWidth="1"/>
    <col min="9503" max="9503" width="14.5" style="11" customWidth="1"/>
    <col min="9504" max="9516" width="11" style="11" customWidth="1"/>
    <col min="9517" max="9517" width="12.83203125" style="11" customWidth="1"/>
    <col min="9518" max="9518" width="10" style="11" bestFit="1" customWidth="1"/>
    <col min="9519" max="9757" width="8.83203125" style="11"/>
    <col min="9758" max="9758" width="53" style="11" customWidth="1"/>
    <col min="9759" max="9759" width="14.5" style="11" customWidth="1"/>
    <col min="9760" max="9772" width="11" style="11" customWidth="1"/>
    <col min="9773" max="9773" width="12.83203125" style="11" customWidth="1"/>
    <col min="9774" max="9774" width="10" style="11" bestFit="1" customWidth="1"/>
    <col min="9775" max="10013" width="8.83203125" style="11"/>
    <col min="10014" max="10014" width="53" style="11" customWidth="1"/>
    <col min="10015" max="10015" width="14.5" style="11" customWidth="1"/>
    <col min="10016" max="10028" width="11" style="11" customWidth="1"/>
    <col min="10029" max="10029" width="12.83203125" style="11" customWidth="1"/>
    <col min="10030" max="10030" width="10" style="11" bestFit="1" customWidth="1"/>
    <col min="10031" max="10269" width="8.83203125" style="11"/>
    <col min="10270" max="10270" width="53" style="11" customWidth="1"/>
    <col min="10271" max="10271" width="14.5" style="11" customWidth="1"/>
    <col min="10272" max="10284" width="11" style="11" customWidth="1"/>
    <col min="10285" max="10285" width="12.83203125" style="11" customWidth="1"/>
    <col min="10286" max="10286" width="10" style="11" bestFit="1" customWidth="1"/>
    <col min="10287" max="10525" width="8.83203125" style="11"/>
    <col min="10526" max="10526" width="53" style="11" customWidth="1"/>
    <col min="10527" max="10527" width="14.5" style="11" customWidth="1"/>
    <col min="10528" max="10540" width="11" style="11" customWidth="1"/>
    <col min="10541" max="10541" width="12.83203125" style="11" customWidth="1"/>
    <col min="10542" max="10542" width="10" style="11" bestFit="1" customWidth="1"/>
    <col min="10543" max="10781" width="8.83203125" style="11"/>
    <col min="10782" max="10782" width="53" style="11" customWidth="1"/>
    <col min="10783" max="10783" width="14.5" style="11" customWidth="1"/>
    <col min="10784" max="10796" width="11" style="11" customWidth="1"/>
    <col min="10797" max="10797" width="12.83203125" style="11" customWidth="1"/>
    <col min="10798" max="10798" width="10" style="11" bestFit="1" customWidth="1"/>
    <col min="10799" max="11037" width="8.83203125" style="11"/>
    <col min="11038" max="11038" width="53" style="11" customWidth="1"/>
    <col min="11039" max="11039" width="14.5" style="11" customWidth="1"/>
    <col min="11040" max="11052" width="11" style="11" customWidth="1"/>
    <col min="11053" max="11053" width="12.83203125" style="11" customWidth="1"/>
    <col min="11054" max="11054" width="10" style="11" bestFit="1" customWidth="1"/>
    <col min="11055" max="11293" width="8.83203125" style="11"/>
    <col min="11294" max="11294" width="53" style="11" customWidth="1"/>
    <col min="11295" max="11295" width="14.5" style="11" customWidth="1"/>
    <col min="11296" max="11308" width="11" style="11" customWidth="1"/>
    <col min="11309" max="11309" width="12.83203125" style="11" customWidth="1"/>
    <col min="11310" max="11310" width="10" style="11" bestFit="1" customWidth="1"/>
    <col min="11311" max="11549" width="8.83203125" style="11"/>
    <col min="11550" max="11550" width="53" style="11" customWidth="1"/>
    <col min="11551" max="11551" width="14.5" style="11" customWidth="1"/>
    <col min="11552" max="11564" width="11" style="11" customWidth="1"/>
    <col min="11565" max="11565" width="12.83203125" style="11" customWidth="1"/>
    <col min="11566" max="11566" width="10" style="11" bestFit="1" customWidth="1"/>
    <col min="11567" max="11805" width="8.83203125" style="11"/>
    <col min="11806" max="11806" width="53" style="11" customWidth="1"/>
    <col min="11807" max="11807" width="14.5" style="11" customWidth="1"/>
    <col min="11808" max="11820" width="11" style="11" customWidth="1"/>
    <col min="11821" max="11821" width="12.83203125" style="11" customWidth="1"/>
    <col min="11822" max="11822" width="10" style="11" bestFit="1" customWidth="1"/>
    <col min="11823" max="12061" width="8.83203125" style="11"/>
    <col min="12062" max="12062" width="53" style="11" customWidth="1"/>
    <col min="12063" max="12063" width="14.5" style="11" customWidth="1"/>
    <col min="12064" max="12076" width="11" style="11" customWidth="1"/>
    <col min="12077" max="12077" width="12.83203125" style="11" customWidth="1"/>
    <col min="12078" max="12078" width="10" style="11" bestFit="1" customWidth="1"/>
    <col min="12079" max="12317" width="8.83203125" style="11"/>
    <col min="12318" max="12318" width="53" style="11" customWidth="1"/>
    <col min="12319" max="12319" width="14.5" style="11" customWidth="1"/>
    <col min="12320" max="12332" width="11" style="11" customWidth="1"/>
    <col min="12333" max="12333" width="12.83203125" style="11" customWidth="1"/>
    <col min="12334" max="12334" width="10" style="11" bestFit="1" customWidth="1"/>
    <col min="12335" max="12573" width="8.83203125" style="11"/>
    <col min="12574" max="12574" width="53" style="11" customWidth="1"/>
    <col min="12575" max="12575" width="14.5" style="11" customWidth="1"/>
    <col min="12576" max="12588" width="11" style="11" customWidth="1"/>
    <col min="12589" max="12589" width="12.83203125" style="11" customWidth="1"/>
    <col min="12590" max="12590" width="10" style="11" bestFit="1" customWidth="1"/>
    <col min="12591" max="12829" width="8.83203125" style="11"/>
    <col min="12830" max="12830" width="53" style="11" customWidth="1"/>
    <col min="12831" max="12831" width="14.5" style="11" customWidth="1"/>
    <col min="12832" max="12844" width="11" style="11" customWidth="1"/>
    <col min="12845" max="12845" width="12.83203125" style="11" customWidth="1"/>
    <col min="12846" max="12846" width="10" style="11" bestFit="1" customWidth="1"/>
    <col min="12847" max="13085" width="8.83203125" style="11"/>
    <col min="13086" max="13086" width="53" style="11" customWidth="1"/>
    <col min="13087" max="13087" width="14.5" style="11" customWidth="1"/>
    <col min="13088" max="13100" width="11" style="11" customWidth="1"/>
    <col min="13101" max="13101" width="12.83203125" style="11" customWidth="1"/>
    <col min="13102" max="13102" width="10" style="11" bestFit="1" customWidth="1"/>
    <col min="13103" max="13341" width="8.83203125" style="11"/>
    <col min="13342" max="13342" width="53" style="11" customWidth="1"/>
    <col min="13343" max="13343" width="14.5" style="11" customWidth="1"/>
    <col min="13344" max="13356" width="11" style="11" customWidth="1"/>
    <col min="13357" max="13357" width="12.83203125" style="11" customWidth="1"/>
    <col min="13358" max="13358" width="10" style="11" bestFit="1" customWidth="1"/>
    <col min="13359" max="13597" width="8.83203125" style="11"/>
    <col min="13598" max="13598" width="53" style="11" customWidth="1"/>
    <col min="13599" max="13599" width="14.5" style="11" customWidth="1"/>
    <col min="13600" max="13612" width="11" style="11" customWidth="1"/>
    <col min="13613" max="13613" width="12.83203125" style="11" customWidth="1"/>
    <col min="13614" max="13614" width="10" style="11" bestFit="1" customWidth="1"/>
    <col min="13615" max="13853" width="8.83203125" style="11"/>
    <col min="13854" max="13854" width="53" style="11" customWidth="1"/>
    <col min="13855" max="13855" width="14.5" style="11" customWidth="1"/>
    <col min="13856" max="13868" width="11" style="11" customWidth="1"/>
    <col min="13869" max="13869" width="12.83203125" style="11" customWidth="1"/>
    <col min="13870" max="13870" width="10" style="11" bestFit="1" customWidth="1"/>
    <col min="13871" max="14109" width="8.83203125" style="11"/>
    <col min="14110" max="14110" width="53" style="11" customWidth="1"/>
    <col min="14111" max="14111" width="14.5" style="11" customWidth="1"/>
    <col min="14112" max="14124" width="11" style="11" customWidth="1"/>
    <col min="14125" max="14125" width="12.83203125" style="11" customWidth="1"/>
    <col min="14126" max="14126" width="10" style="11" bestFit="1" customWidth="1"/>
    <col min="14127" max="14365" width="8.83203125" style="11"/>
    <col min="14366" max="14366" width="53" style="11" customWidth="1"/>
    <col min="14367" max="14367" width="14.5" style="11" customWidth="1"/>
    <col min="14368" max="14380" width="11" style="11" customWidth="1"/>
    <col min="14381" max="14381" width="12.83203125" style="11" customWidth="1"/>
    <col min="14382" max="14382" width="10" style="11" bestFit="1" customWidth="1"/>
    <col min="14383" max="14621" width="8.83203125" style="11"/>
    <col min="14622" max="14622" width="53" style="11" customWidth="1"/>
    <col min="14623" max="14623" width="14.5" style="11" customWidth="1"/>
    <col min="14624" max="14636" width="11" style="11" customWidth="1"/>
    <col min="14637" max="14637" width="12.83203125" style="11" customWidth="1"/>
    <col min="14638" max="14638" width="10" style="11" bestFit="1" customWidth="1"/>
    <col min="14639" max="14877" width="8.83203125" style="11"/>
    <col min="14878" max="14878" width="53" style="11" customWidth="1"/>
    <col min="14879" max="14879" width="14.5" style="11" customWidth="1"/>
    <col min="14880" max="14892" width="11" style="11" customWidth="1"/>
    <col min="14893" max="14893" width="12.83203125" style="11" customWidth="1"/>
    <col min="14894" max="14894" width="10" style="11" bestFit="1" customWidth="1"/>
    <col min="14895" max="15133" width="8.83203125" style="11"/>
    <col min="15134" max="15134" width="53" style="11" customWidth="1"/>
    <col min="15135" max="15135" width="14.5" style="11" customWidth="1"/>
    <col min="15136" max="15148" width="11" style="11" customWidth="1"/>
    <col min="15149" max="15149" width="12.83203125" style="11" customWidth="1"/>
    <col min="15150" max="15150" width="10" style="11" bestFit="1" customWidth="1"/>
    <col min="15151" max="15389" width="8.83203125" style="11"/>
    <col min="15390" max="15390" width="53" style="11" customWidth="1"/>
    <col min="15391" max="15391" width="14.5" style="11" customWidth="1"/>
    <col min="15392" max="15404" width="11" style="11" customWidth="1"/>
    <col min="15405" max="15405" width="12.83203125" style="11" customWidth="1"/>
    <col min="15406" max="15406" width="10" style="11" bestFit="1" customWidth="1"/>
    <col min="15407" max="15645" width="8.83203125" style="11"/>
    <col min="15646" max="15646" width="53" style="11" customWidth="1"/>
    <col min="15647" max="15647" width="14.5" style="11" customWidth="1"/>
    <col min="15648" max="15660" width="11" style="11" customWidth="1"/>
    <col min="15661" max="15661" width="12.83203125" style="11" customWidth="1"/>
    <col min="15662" max="15662" width="10" style="11" bestFit="1" customWidth="1"/>
    <col min="15663" max="15901" width="8.83203125" style="11"/>
    <col min="15902" max="15902" width="53" style="11" customWidth="1"/>
    <col min="15903" max="15903" width="14.5" style="11" customWidth="1"/>
    <col min="15904" max="15916" width="11" style="11" customWidth="1"/>
    <col min="15917" max="15917" width="12.83203125" style="11" customWidth="1"/>
    <col min="15918" max="15918" width="10" style="11" bestFit="1" customWidth="1"/>
    <col min="15919" max="16157" width="8.83203125" style="11"/>
    <col min="16158" max="16158" width="53" style="11" customWidth="1"/>
    <col min="16159" max="16159" width="14.5" style="11" customWidth="1"/>
    <col min="16160" max="16172" width="11" style="11" customWidth="1"/>
    <col min="16173" max="16173" width="12.83203125" style="11" customWidth="1"/>
    <col min="16174" max="16174" width="10" style="11" bestFit="1" customWidth="1"/>
    <col min="16175" max="16384" width="8.83203125" style="11"/>
  </cols>
  <sheetData>
    <row r="1" spans="1:46" customFormat="1" ht="15" x14ac:dyDescent="0.2">
      <c r="A1" s="363" t="s">
        <v>8</v>
      </c>
      <c r="B1" s="363"/>
      <c r="C1" s="106"/>
      <c r="D1" s="106"/>
      <c r="E1" s="106"/>
      <c r="F1" s="106"/>
      <c r="G1" s="106"/>
      <c r="H1" s="106"/>
      <c r="I1" s="106"/>
      <c r="J1" s="106"/>
      <c r="O1" s="134"/>
      <c r="P1" s="134"/>
      <c r="AC1" s="134"/>
      <c r="AD1" s="134"/>
      <c r="AQ1" s="134"/>
      <c r="AR1" s="134"/>
    </row>
    <row r="2" spans="1:46" ht="12.75" customHeight="1" x14ac:dyDescent="0.15">
      <c r="A2" s="7"/>
      <c r="B2" s="8"/>
      <c r="C2" s="168" t="str">
        <f>A119</f>
        <v>Срок окупаемости проекта, мес.:</v>
      </c>
      <c r="D2" s="169">
        <f>B119</f>
        <v>3</v>
      </c>
      <c r="E2" s="8"/>
      <c r="F2" s="8"/>
      <c r="G2" s="8"/>
      <c r="H2" s="8"/>
      <c r="I2" s="9"/>
      <c r="J2" s="10"/>
      <c r="K2" s="10"/>
      <c r="L2" s="10"/>
      <c r="M2" s="10"/>
      <c r="N2" s="10"/>
      <c r="O2" s="135"/>
      <c r="P2" s="135"/>
      <c r="Q2" s="8"/>
      <c r="R2" s="80"/>
      <c r="S2" s="8"/>
      <c r="T2" s="8"/>
      <c r="U2" s="8"/>
      <c r="V2" s="8"/>
      <c r="W2" s="9"/>
      <c r="X2" s="10"/>
      <c r="Y2" s="10"/>
      <c r="Z2" s="10"/>
      <c r="AA2" s="10"/>
      <c r="AB2" s="10"/>
      <c r="AC2" s="135"/>
      <c r="AD2" s="135"/>
      <c r="AE2" s="8"/>
      <c r="AF2" s="80"/>
      <c r="AG2" s="8"/>
      <c r="AH2" s="8"/>
      <c r="AI2" s="8"/>
      <c r="AJ2" s="8"/>
      <c r="AK2" s="9"/>
      <c r="AL2" s="10"/>
      <c r="AM2" s="10"/>
      <c r="AN2" s="10"/>
      <c r="AO2" s="10"/>
      <c r="AP2" s="10"/>
      <c r="AQ2" s="135"/>
      <c r="AR2" s="135"/>
      <c r="AS2" s="10"/>
    </row>
    <row r="3" spans="1:46" hidden="1" x14ac:dyDescent="0.15">
      <c r="C3" s="121">
        <f>'Обобщенный расчет'!$O$1</f>
        <v>1</v>
      </c>
      <c r="D3" s="121">
        <f>IF(C3=12,1,C3+1)</f>
        <v>2</v>
      </c>
      <c r="E3" s="121">
        <f t="shared" ref="E3:AB3" si="0">IF(D3=12,1,D3+1)</f>
        <v>3</v>
      </c>
      <c r="F3" s="121">
        <f t="shared" si="0"/>
        <v>4</v>
      </c>
      <c r="G3" s="121">
        <f t="shared" si="0"/>
        <v>5</v>
      </c>
      <c r="H3" s="121">
        <f t="shared" si="0"/>
        <v>6</v>
      </c>
      <c r="I3" s="121">
        <f t="shared" si="0"/>
        <v>7</v>
      </c>
      <c r="J3" s="121">
        <f t="shared" si="0"/>
        <v>8</v>
      </c>
      <c r="K3" s="121">
        <f t="shared" si="0"/>
        <v>9</v>
      </c>
      <c r="L3" s="121">
        <f t="shared" si="0"/>
        <v>10</v>
      </c>
      <c r="M3" s="121">
        <f t="shared" si="0"/>
        <v>11</v>
      </c>
      <c r="N3" s="121">
        <f t="shared" si="0"/>
        <v>12</v>
      </c>
      <c r="O3" s="138"/>
      <c r="P3" s="138"/>
      <c r="Q3" s="121">
        <f>IF(N3=12,1,N3+1)</f>
        <v>1</v>
      </c>
      <c r="R3" s="121">
        <f t="shared" si="0"/>
        <v>2</v>
      </c>
      <c r="S3" s="121">
        <f t="shared" si="0"/>
        <v>3</v>
      </c>
      <c r="T3" s="121">
        <f t="shared" si="0"/>
        <v>4</v>
      </c>
      <c r="U3" s="121">
        <f t="shared" si="0"/>
        <v>5</v>
      </c>
      <c r="V3" s="121">
        <f t="shared" si="0"/>
        <v>6</v>
      </c>
      <c r="W3" s="121">
        <f t="shared" si="0"/>
        <v>7</v>
      </c>
      <c r="X3" s="121">
        <f t="shared" si="0"/>
        <v>8</v>
      </c>
      <c r="Y3" s="121">
        <f t="shared" si="0"/>
        <v>9</v>
      </c>
      <c r="Z3" s="121">
        <f t="shared" si="0"/>
        <v>10</v>
      </c>
      <c r="AA3" s="121">
        <f t="shared" si="0"/>
        <v>11</v>
      </c>
      <c r="AB3" s="121">
        <f t="shared" si="0"/>
        <v>12</v>
      </c>
      <c r="AC3" s="138"/>
      <c r="AD3" s="138"/>
      <c r="AE3" s="121">
        <f>IF(AB3=12,1,AB3+1)</f>
        <v>1</v>
      </c>
      <c r="AF3" s="121">
        <f t="shared" ref="AF3:AP3" si="1">IF(AE3=12,1,AE3+1)</f>
        <v>2</v>
      </c>
      <c r="AG3" s="121">
        <f t="shared" si="1"/>
        <v>3</v>
      </c>
      <c r="AH3" s="121">
        <f t="shared" si="1"/>
        <v>4</v>
      </c>
      <c r="AI3" s="121">
        <f t="shared" si="1"/>
        <v>5</v>
      </c>
      <c r="AJ3" s="121">
        <f t="shared" si="1"/>
        <v>6</v>
      </c>
      <c r="AK3" s="121">
        <f t="shared" si="1"/>
        <v>7</v>
      </c>
      <c r="AL3" s="121">
        <f t="shared" si="1"/>
        <v>8</v>
      </c>
      <c r="AM3" s="121">
        <f t="shared" si="1"/>
        <v>9</v>
      </c>
      <c r="AN3" s="121">
        <f t="shared" si="1"/>
        <v>10</v>
      </c>
      <c r="AO3" s="121">
        <f t="shared" si="1"/>
        <v>11</v>
      </c>
      <c r="AP3" s="121">
        <f t="shared" si="1"/>
        <v>12</v>
      </c>
      <c r="AQ3" s="138"/>
      <c r="AR3" s="138"/>
    </row>
    <row r="4" spans="1:46" ht="14" thickBot="1" x14ac:dyDescent="0.2"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39"/>
      <c r="P4" s="139"/>
      <c r="Q4" s="123"/>
      <c r="R4" s="123"/>
      <c r="S4" s="123"/>
      <c r="T4" s="123"/>
      <c r="U4" s="123"/>
      <c r="V4" s="123"/>
      <c r="W4" s="123"/>
      <c r="X4" s="123"/>
      <c r="Y4" s="123"/>
      <c r="AC4" s="139"/>
      <c r="AD4" s="139"/>
      <c r="AE4" s="123"/>
      <c r="AF4" s="123"/>
      <c r="AG4" s="123"/>
      <c r="AH4" s="123"/>
      <c r="AI4" s="123"/>
      <c r="AJ4" s="123"/>
      <c r="AK4" s="123"/>
      <c r="AL4" s="123"/>
      <c r="AM4" s="123"/>
      <c r="AQ4" s="139"/>
      <c r="AR4" s="139"/>
    </row>
    <row r="5" spans="1:46" s="12" customFormat="1" ht="14.25" customHeight="1" thickTop="1" thickBot="1" x14ac:dyDescent="0.2">
      <c r="A5" s="13" t="s">
        <v>9</v>
      </c>
      <c r="B5" s="95"/>
      <c r="C5" s="366" t="s">
        <v>43</v>
      </c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  <c r="P5" s="368"/>
      <c r="Q5" s="369" t="s">
        <v>44</v>
      </c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1"/>
      <c r="AE5" s="372" t="s">
        <v>48</v>
      </c>
      <c r="AF5" s="372"/>
      <c r="AG5" s="372"/>
      <c r="AH5" s="372"/>
      <c r="AI5" s="372"/>
      <c r="AJ5" s="372"/>
      <c r="AK5" s="372"/>
      <c r="AL5" s="372"/>
      <c r="AM5" s="372"/>
      <c r="AN5" s="372"/>
      <c r="AO5" s="372"/>
      <c r="AP5" s="372"/>
      <c r="AQ5" s="372"/>
      <c r="AR5" s="372"/>
    </row>
    <row r="6" spans="1:46" s="12" customFormat="1" ht="15" thickTop="1" thickBot="1" x14ac:dyDescent="0.2">
      <c r="A6" s="16"/>
      <c r="B6" s="17"/>
      <c r="C6" s="125" t="str">
        <f>CHOOSE(C3,'Обобщенный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январь</v>
      </c>
      <c r="D6" s="125" t="str">
        <f>CHOOSE(D3,'Обобщенный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февраль</v>
      </c>
      <c r="E6" s="125" t="str">
        <f>CHOOSE(E3,'Обобщенный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март</v>
      </c>
      <c r="F6" s="125" t="str">
        <f>CHOOSE(F3,'Обобщенный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апрель</v>
      </c>
      <c r="G6" s="125" t="str">
        <f>CHOOSE(G3,'Обобщенный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май</v>
      </c>
      <c r="H6" s="125" t="str">
        <f>CHOOSE(H3,'Обобщенный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июнь</v>
      </c>
      <c r="I6" s="125" t="str">
        <f>CHOOSE(I3,'Обобщенный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июль</v>
      </c>
      <c r="J6" s="125" t="str">
        <f>CHOOSE(J3,'Обобщенный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август</v>
      </c>
      <c r="K6" s="125" t="str">
        <f>CHOOSE(K3,'Обобщенный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сентябрь</v>
      </c>
      <c r="L6" s="125" t="str">
        <f>CHOOSE(L3,'Обобщенный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октябрь</v>
      </c>
      <c r="M6" s="125" t="str">
        <f>CHOOSE(M3,'Обобщенный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ноябрь</v>
      </c>
      <c r="N6" s="125" t="str">
        <f>CHOOSE(N3,'Обобщенный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декабрь</v>
      </c>
      <c r="O6" s="140"/>
      <c r="P6" s="140"/>
      <c r="Q6" s="125" t="str">
        <f>CHOOSE(Q3,'Обобщенный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январь</v>
      </c>
      <c r="R6" s="125" t="str">
        <f>CHOOSE(R3,'Обобщенный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февраль</v>
      </c>
      <c r="S6" s="125" t="str">
        <f>CHOOSE(S3,'Обобщенный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март</v>
      </c>
      <c r="T6" s="125" t="str">
        <f>CHOOSE(T3,'Обобщенный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апрель</v>
      </c>
      <c r="U6" s="125" t="str">
        <f>CHOOSE(U3,'Обобщенный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май</v>
      </c>
      <c r="V6" s="125" t="str">
        <f>CHOOSE(V3,'Обобщенный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июнь</v>
      </c>
      <c r="W6" s="125" t="str">
        <f>CHOOSE(W3,'Обобщенный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июль</v>
      </c>
      <c r="X6" s="125" t="str">
        <f>CHOOSE(X3,'Обобщенный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август</v>
      </c>
      <c r="Y6" s="125" t="str">
        <f>CHOOSE(Y3,'Обобщенный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сентябрь</v>
      </c>
      <c r="Z6" s="125" t="str">
        <f>CHOOSE(Z3,'Обобщенный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октябрь</v>
      </c>
      <c r="AA6" s="125" t="str">
        <f>CHOOSE(AA3,'Обобщенный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ноябрь</v>
      </c>
      <c r="AB6" s="125" t="str">
        <f>CHOOSE(AB3,'Обобщенный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декабрь</v>
      </c>
      <c r="AC6" s="140"/>
      <c r="AD6" s="140"/>
      <c r="AE6" s="125" t="str">
        <f>CHOOSE(AE3,'Обобщенный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январь</v>
      </c>
      <c r="AF6" s="125" t="str">
        <f>CHOOSE(AF3,'Обобщенный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февраль</v>
      </c>
      <c r="AG6" s="125" t="str">
        <f>CHOOSE(AG3,'Обобщенный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март</v>
      </c>
      <c r="AH6" s="125" t="str">
        <f>CHOOSE(AH3,'Обобщенный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апрель</v>
      </c>
      <c r="AI6" s="125" t="str">
        <f>CHOOSE(AI3,'Обобщенный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май</v>
      </c>
      <c r="AJ6" s="125" t="str">
        <f>CHOOSE(AJ3,'Обобщенный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июнь</v>
      </c>
      <c r="AK6" s="125" t="str">
        <f>CHOOSE(AK3,'Обобщенный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июль</v>
      </c>
      <c r="AL6" s="125" t="str">
        <f>CHOOSE(AL3,'Обобщенный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август</v>
      </c>
      <c r="AM6" s="125" t="str">
        <f>CHOOSE(AM3,'Обобщенный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сентябрь</v>
      </c>
      <c r="AN6" s="125" t="str">
        <f>CHOOSE(AN3,'Обобщенный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октябрь</v>
      </c>
      <c r="AO6" s="125" t="str">
        <f>CHOOSE(AO3,'Обобщенный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ноябрь</v>
      </c>
      <c r="AP6" s="125" t="str">
        <f>CHOOSE(AP3,'Обобщенный расчет'!$P$1,'Обобщенный расчет'!$P$2,'Обобщенный расчет'!$P$3,'Обобщенный расчет'!$P$4,'Обобщенный расчет'!$P$5,'Обобщенный расчет'!$P$6,'Обобщенный расчет'!$P$7,'Обобщенный расчет'!$P$8,'Обобщенный расчет'!$P$9,'Обобщенный расчет'!$P$10,'Обобщенный расчет'!$P$11,'Обобщенный расчет'!$P$12)</f>
        <v>декабрь</v>
      </c>
      <c r="AQ6" s="140"/>
      <c r="AR6" s="140"/>
      <c r="AS6" s="15"/>
    </row>
    <row r="7" spans="1:46" s="12" customFormat="1" ht="12" thickTop="1" x14ac:dyDescent="0.15">
      <c r="A7" s="120" t="s">
        <v>45</v>
      </c>
      <c r="B7" s="84"/>
      <c r="C7" s="118">
        <v>0.25</v>
      </c>
      <c r="D7" s="118">
        <v>0.5</v>
      </c>
      <c r="E7" s="118">
        <v>0.8</v>
      </c>
      <c r="F7" s="118">
        <v>1</v>
      </c>
      <c r="G7" s="118">
        <v>1</v>
      </c>
      <c r="H7" s="118">
        <v>1</v>
      </c>
      <c r="I7" s="118">
        <v>1</v>
      </c>
      <c r="J7" s="118">
        <v>1</v>
      </c>
      <c r="K7" s="118">
        <v>1</v>
      </c>
      <c r="L7" s="118">
        <v>1</v>
      </c>
      <c r="M7" s="118">
        <v>1</v>
      </c>
      <c r="N7" s="118">
        <v>1</v>
      </c>
      <c r="O7" s="137"/>
      <c r="P7" s="137"/>
      <c r="Q7" s="118">
        <v>1</v>
      </c>
      <c r="R7" s="118">
        <v>1</v>
      </c>
      <c r="S7" s="118">
        <v>1</v>
      </c>
      <c r="T7" s="118">
        <v>1</v>
      </c>
      <c r="U7" s="118">
        <v>1</v>
      </c>
      <c r="V7" s="118">
        <v>1</v>
      </c>
      <c r="W7" s="118">
        <v>1</v>
      </c>
      <c r="X7" s="118">
        <v>1</v>
      </c>
      <c r="Y7" s="118">
        <v>1</v>
      </c>
      <c r="Z7" s="118">
        <v>1</v>
      </c>
      <c r="AA7" s="118">
        <v>1</v>
      </c>
      <c r="AB7" s="118">
        <v>1</v>
      </c>
      <c r="AC7" s="137"/>
      <c r="AD7" s="137"/>
      <c r="AE7" s="118">
        <v>1</v>
      </c>
      <c r="AF7" s="118">
        <v>1</v>
      </c>
      <c r="AG7" s="118">
        <v>1</v>
      </c>
      <c r="AH7" s="118">
        <v>1</v>
      </c>
      <c r="AI7" s="118">
        <v>1</v>
      </c>
      <c r="AJ7" s="118">
        <v>1</v>
      </c>
      <c r="AK7" s="118">
        <v>1</v>
      </c>
      <c r="AL7" s="118">
        <v>1</v>
      </c>
      <c r="AM7" s="118">
        <v>1</v>
      </c>
      <c r="AN7" s="118">
        <v>1</v>
      </c>
      <c r="AO7" s="118">
        <v>1</v>
      </c>
      <c r="AP7" s="118">
        <v>1</v>
      </c>
      <c r="AQ7" s="137"/>
      <c r="AR7" s="137"/>
      <c r="AS7" s="119"/>
    </row>
    <row r="8" spans="1:46" s="21" customFormat="1" ht="12" thickBot="1" x14ac:dyDescent="0.2">
      <c r="A8" s="18"/>
      <c r="B8" s="19"/>
      <c r="C8" s="18"/>
      <c r="D8" s="18"/>
      <c r="E8" s="18"/>
      <c r="F8" s="18"/>
      <c r="G8" s="18"/>
      <c r="H8" s="18"/>
      <c r="I8" s="18"/>
      <c r="J8" s="18"/>
      <c r="K8" s="20"/>
      <c r="L8" s="20"/>
      <c r="M8" s="20"/>
      <c r="N8" s="20"/>
      <c r="O8" s="141"/>
      <c r="P8" s="141"/>
      <c r="Q8" s="18"/>
      <c r="R8" s="18"/>
      <c r="S8" s="18"/>
      <c r="T8" s="18"/>
      <c r="U8" s="18"/>
      <c r="V8" s="18"/>
      <c r="W8" s="18"/>
      <c r="X8" s="18"/>
      <c r="Y8" s="20"/>
      <c r="Z8" s="20"/>
      <c r="AA8" s="20"/>
      <c r="AB8" s="20"/>
      <c r="AC8" s="141"/>
      <c r="AD8" s="141"/>
      <c r="AE8" s="18"/>
      <c r="AF8" s="18"/>
      <c r="AG8" s="18"/>
      <c r="AH8" s="18"/>
      <c r="AI8" s="18"/>
      <c r="AJ8" s="18"/>
      <c r="AK8" s="18"/>
      <c r="AL8" s="18"/>
      <c r="AM8" s="20"/>
      <c r="AN8" s="20"/>
      <c r="AO8" s="20"/>
      <c r="AP8" s="20"/>
      <c r="AQ8" s="141"/>
      <c r="AR8" s="141"/>
      <c r="AS8" s="20"/>
    </row>
    <row r="9" spans="1:46" s="12" customFormat="1" ht="11" x14ac:dyDescent="0.15">
      <c r="O9" s="142"/>
      <c r="P9" s="142"/>
      <c r="AC9" s="142"/>
      <c r="AD9" s="142"/>
      <c r="AQ9" s="142"/>
      <c r="AR9" s="142"/>
    </row>
    <row r="10" spans="1:46" s="12" customFormat="1" ht="13.5" customHeight="1" thickBot="1" x14ac:dyDescent="0.2">
      <c r="A10" s="95"/>
      <c r="B10" s="95"/>
      <c r="C10" s="369" t="s">
        <v>43</v>
      </c>
      <c r="D10" s="370"/>
      <c r="E10" s="370"/>
      <c r="F10" s="370"/>
      <c r="G10" s="370"/>
      <c r="H10" s="370"/>
      <c r="I10" s="370"/>
      <c r="J10" s="370"/>
      <c r="K10" s="370"/>
      <c r="L10" s="370"/>
      <c r="M10" s="370"/>
      <c r="N10" s="370"/>
      <c r="O10" s="370"/>
      <c r="P10" s="371"/>
      <c r="Q10" s="369" t="s">
        <v>44</v>
      </c>
      <c r="R10" s="370"/>
      <c r="S10" s="370"/>
      <c r="T10" s="370"/>
      <c r="U10" s="370"/>
      <c r="V10" s="370"/>
      <c r="W10" s="370"/>
      <c r="X10" s="370"/>
      <c r="Y10" s="370"/>
      <c r="Z10" s="370"/>
      <c r="AA10" s="370"/>
      <c r="AB10" s="370"/>
      <c r="AC10" s="370"/>
      <c r="AD10" s="371"/>
      <c r="AE10" s="372" t="s">
        <v>48</v>
      </c>
      <c r="AF10" s="372"/>
      <c r="AG10" s="372"/>
      <c r="AH10" s="372"/>
      <c r="AI10" s="372"/>
      <c r="AJ10" s="372"/>
      <c r="AK10" s="372"/>
      <c r="AL10" s="372"/>
      <c r="AM10" s="372"/>
      <c r="AN10" s="372"/>
      <c r="AO10" s="372"/>
      <c r="AP10" s="372"/>
      <c r="AQ10" s="372"/>
      <c r="AR10" s="372"/>
      <c r="AS10" s="364" t="s">
        <v>56</v>
      </c>
    </row>
    <row r="11" spans="1:46" s="24" customFormat="1" ht="24" thickTop="1" thickBot="1" x14ac:dyDescent="0.2">
      <c r="A11" s="22" t="s">
        <v>139</v>
      </c>
      <c r="B11" s="23"/>
      <c r="C11" s="124" t="str">
        <f t="shared" ref="C11:N11" si="2">C$6</f>
        <v>январь</v>
      </c>
      <c r="D11" s="124" t="str">
        <f t="shared" si="2"/>
        <v>февраль</v>
      </c>
      <c r="E11" s="124" t="str">
        <f t="shared" si="2"/>
        <v>март</v>
      </c>
      <c r="F11" s="124" t="str">
        <f t="shared" si="2"/>
        <v>апрель</v>
      </c>
      <c r="G11" s="124" t="str">
        <f t="shared" si="2"/>
        <v>май</v>
      </c>
      <c r="H11" s="124" t="str">
        <f t="shared" si="2"/>
        <v>июнь</v>
      </c>
      <c r="I11" s="124" t="str">
        <f t="shared" si="2"/>
        <v>июль</v>
      </c>
      <c r="J11" s="124" t="str">
        <f t="shared" si="2"/>
        <v>август</v>
      </c>
      <c r="K11" s="124" t="str">
        <f t="shared" si="2"/>
        <v>сентябрь</v>
      </c>
      <c r="L11" s="124" t="str">
        <f t="shared" si="2"/>
        <v>октябрь</v>
      </c>
      <c r="M11" s="124" t="str">
        <f t="shared" si="2"/>
        <v>ноябрь</v>
      </c>
      <c r="N11" s="124" t="str">
        <f t="shared" si="2"/>
        <v>декабрь</v>
      </c>
      <c r="O11" s="143" t="s">
        <v>49</v>
      </c>
      <c r="P11" s="143" t="s">
        <v>50</v>
      </c>
      <c r="Q11" s="124" t="str">
        <f t="shared" ref="Q11:AB11" si="3">Q$6</f>
        <v>январь</v>
      </c>
      <c r="R11" s="124" t="str">
        <f t="shared" si="3"/>
        <v>февраль</v>
      </c>
      <c r="S11" s="124" t="str">
        <f t="shared" si="3"/>
        <v>март</v>
      </c>
      <c r="T11" s="124" t="str">
        <f t="shared" si="3"/>
        <v>апрель</v>
      </c>
      <c r="U11" s="124" t="str">
        <f t="shared" si="3"/>
        <v>май</v>
      </c>
      <c r="V11" s="124" t="str">
        <f t="shared" si="3"/>
        <v>июнь</v>
      </c>
      <c r="W11" s="124" t="str">
        <f t="shared" si="3"/>
        <v>июль</v>
      </c>
      <c r="X11" s="124" t="str">
        <f t="shared" si="3"/>
        <v>август</v>
      </c>
      <c r="Y11" s="124" t="str">
        <f t="shared" si="3"/>
        <v>сентябрь</v>
      </c>
      <c r="Z11" s="124" t="str">
        <f t="shared" si="3"/>
        <v>октябрь</v>
      </c>
      <c r="AA11" s="124" t="str">
        <f t="shared" si="3"/>
        <v>ноябрь</v>
      </c>
      <c r="AB11" s="124" t="str">
        <f t="shared" si="3"/>
        <v>декабрь</v>
      </c>
      <c r="AC11" s="143" t="s">
        <v>53</v>
      </c>
      <c r="AD11" s="143" t="s">
        <v>52</v>
      </c>
      <c r="AE11" s="124" t="str">
        <f t="shared" ref="AE11:AP11" si="4">AE$6</f>
        <v>январь</v>
      </c>
      <c r="AF11" s="124" t="str">
        <f t="shared" si="4"/>
        <v>февраль</v>
      </c>
      <c r="AG11" s="124" t="str">
        <f t="shared" si="4"/>
        <v>март</v>
      </c>
      <c r="AH11" s="124" t="str">
        <f t="shared" si="4"/>
        <v>апрель</v>
      </c>
      <c r="AI11" s="124" t="str">
        <f t="shared" si="4"/>
        <v>май</v>
      </c>
      <c r="AJ11" s="124" t="str">
        <f t="shared" si="4"/>
        <v>июнь</v>
      </c>
      <c r="AK11" s="124" t="str">
        <f t="shared" si="4"/>
        <v>июль</v>
      </c>
      <c r="AL11" s="124" t="str">
        <f t="shared" si="4"/>
        <v>август</v>
      </c>
      <c r="AM11" s="124" t="str">
        <f t="shared" si="4"/>
        <v>сентябрь</v>
      </c>
      <c r="AN11" s="124" t="str">
        <f t="shared" si="4"/>
        <v>октябрь</v>
      </c>
      <c r="AO11" s="124" t="str">
        <f t="shared" si="4"/>
        <v>ноябрь</v>
      </c>
      <c r="AP11" s="124" t="str">
        <f t="shared" si="4"/>
        <v>декабрь</v>
      </c>
      <c r="AQ11" s="143" t="s">
        <v>54</v>
      </c>
      <c r="AR11" s="143" t="s">
        <v>55</v>
      </c>
      <c r="AS11" s="365"/>
    </row>
    <row r="12" spans="1:46" s="213" customFormat="1" ht="12" hidden="1" thickTop="1" x14ac:dyDescent="0.15">
      <c r="A12" s="207" t="s">
        <v>138</v>
      </c>
      <c r="B12" s="208"/>
      <c r="C12" s="209">
        <v>1</v>
      </c>
      <c r="D12" s="209">
        <f>C12+1</f>
        <v>2</v>
      </c>
      <c r="E12" s="209">
        <f t="shared" ref="E12:L12" si="5">D12+1</f>
        <v>3</v>
      </c>
      <c r="F12" s="209">
        <f t="shared" si="5"/>
        <v>4</v>
      </c>
      <c r="G12" s="209">
        <f t="shared" si="5"/>
        <v>5</v>
      </c>
      <c r="H12" s="209">
        <f t="shared" si="5"/>
        <v>6</v>
      </c>
      <c r="I12" s="209">
        <f t="shared" si="5"/>
        <v>7</v>
      </c>
      <c r="J12" s="209">
        <f t="shared" si="5"/>
        <v>8</v>
      </c>
      <c r="K12" s="209">
        <f t="shared" si="5"/>
        <v>9</v>
      </c>
      <c r="L12" s="209">
        <f t="shared" si="5"/>
        <v>10</v>
      </c>
      <c r="M12" s="209">
        <f t="shared" ref="M12" si="6">L12+1</f>
        <v>11</v>
      </c>
      <c r="N12" s="209">
        <f t="shared" ref="N12" si="7">M12+1</f>
        <v>12</v>
      </c>
      <c r="Q12" s="209">
        <f>N12+1</f>
        <v>13</v>
      </c>
      <c r="R12" s="209">
        <f t="shared" ref="R12:S12" si="8">Q12+1</f>
        <v>14</v>
      </c>
      <c r="S12" s="209">
        <f t="shared" si="8"/>
        <v>15</v>
      </c>
      <c r="T12" s="209">
        <f t="shared" ref="T12" si="9">S12+1</f>
        <v>16</v>
      </c>
      <c r="U12" s="209">
        <f t="shared" ref="U12" si="10">T12+1</f>
        <v>17</v>
      </c>
      <c r="V12" s="209">
        <f t="shared" ref="V12" si="11">U12+1</f>
        <v>18</v>
      </c>
      <c r="W12" s="209">
        <f t="shared" ref="W12" si="12">V12+1</f>
        <v>19</v>
      </c>
      <c r="X12" s="209">
        <f t="shared" ref="X12" si="13">W12+1</f>
        <v>20</v>
      </c>
      <c r="Y12" s="209">
        <f t="shared" ref="Y12" si="14">X12+1</f>
        <v>21</v>
      </c>
      <c r="Z12" s="209">
        <f t="shared" ref="Z12" si="15">Y12+1</f>
        <v>22</v>
      </c>
      <c r="AA12" s="209">
        <f t="shared" ref="AA12" si="16">Z12+1</f>
        <v>23</v>
      </c>
      <c r="AB12" s="209">
        <f t="shared" ref="AB12" si="17">AA12+1</f>
        <v>24</v>
      </c>
      <c r="AE12" s="209">
        <f>AB12+1</f>
        <v>25</v>
      </c>
      <c r="AF12" s="209">
        <f t="shared" ref="AF12" si="18">AE12+1</f>
        <v>26</v>
      </c>
      <c r="AG12" s="209">
        <f t="shared" ref="AG12" si="19">AF12+1</f>
        <v>27</v>
      </c>
      <c r="AH12" s="209">
        <f t="shared" ref="AH12" si="20">AG12+1</f>
        <v>28</v>
      </c>
      <c r="AI12" s="209">
        <f t="shared" ref="AI12" si="21">AH12+1</f>
        <v>29</v>
      </c>
      <c r="AJ12" s="209">
        <f t="shared" ref="AJ12" si="22">AI12+1</f>
        <v>30</v>
      </c>
      <c r="AK12" s="209">
        <f t="shared" ref="AK12" si="23">AJ12+1</f>
        <v>31</v>
      </c>
      <c r="AL12" s="209">
        <f t="shared" ref="AL12" si="24">AK12+1</f>
        <v>32</v>
      </c>
      <c r="AM12" s="209">
        <f t="shared" ref="AM12" si="25">AL12+1</f>
        <v>33</v>
      </c>
      <c r="AN12" s="209">
        <f t="shared" ref="AN12" si="26">AM12+1</f>
        <v>34</v>
      </c>
      <c r="AO12" s="209">
        <f t="shared" ref="AO12" si="27">AN12+1</f>
        <v>35</v>
      </c>
      <c r="AP12" s="209">
        <f t="shared" ref="AP12" si="28">AO12+1</f>
        <v>36</v>
      </c>
      <c r="AQ12" s="210"/>
      <c r="AR12" s="210"/>
      <c r="AS12" s="211"/>
      <c r="AT12" s="212"/>
    </row>
    <row r="13" spans="1:46" s="213" customFormat="1" ht="11" hidden="1" x14ac:dyDescent="0.15">
      <c r="A13" s="207" t="s">
        <v>137</v>
      </c>
      <c r="B13" s="214">
        <f>MIN(C13:N13)</f>
        <v>2</v>
      </c>
      <c r="C13" s="209" t="str">
        <f t="shared" ref="C13:L13" si="29">IF(C23&gt;0,C12,"")</f>
        <v/>
      </c>
      <c r="D13" s="209">
        <f t="shared" si="29"/>
        <v>2</v>
      </c>
      <c r="E13" s="209">
        <f t="shared" si="29"/>
        <v>3</v>
      </c>
      <c r="F13" s="209">
        <f t="shared" si="29"/>
        <v>4</v>
      </c>
      <c r="G13" s="209">
        <f t="shared" si="29"/>
        <v>5</v>
      </c>
      <c r="H13" s="209">
        <f t="shared" si="29"/>
        <v>6</v>
      </c>
      <c r="I13" s="209">
        <f t="shared" si="29"/>
        <v>7</v>
      </c>
      <c r="J13" s="209">
        <f t="shared" si="29"/>
        <v>8</v>
      </c>
      <c r="K13" s="209">
        <f t="shared" si="29"/>
        <v>9</v>
      </c>
      <c r="L13" s="209">
        <f t="shared" si="29"/>
        <v>10</v>
      </c>
      <c r="M13" s="209">
        <f t="shared" ref="M13" si="30">IF(M23&gt;0,M12,"")</f>
        <v>11</v>
      </c>
      <c r="N13" s="209">
        <f t="shared" ref="N13" si="31">IF(N23&gt;0,N12,"")</f>
        <v>12</v>
      </c>
      <c r="Q13" s="209">
        <f t="shared" ref="Q13" si="32">IF(Q23&gt;0,Q12,"")</f>
        <v>13</v>
      </c>
      <c r="R13" s="209">
        <f t="shared" ref="R13" si="33">IF(R23&gt;0,R12,"")</f>
        <v>14</v>
      </c>
      <c r="S13" s="209">
        <f t="shared" ref="S13" si="34">IF(S23&gt;0,S12,"")</f>
        <v>15</v>
      </c>
      <c r="T13" s="209">
        <f t="shared" ref="T13" si="35">IF(T23&gt;0,T12,"")</f>
        <v>16</v>
      </c>
      <c r="U13" s="209">
        <f t="shared" ref="U13" si="36">IF(U23&gt;0,U12,"")</f>
        <v>17</v>
      </c>
      <c r="V13" s="209">
        <f t="shared" ref="V13" si="37">IF(V23&gt;0,V12,"")</f>
        <v>18</v>
      </c>
      <c r="W13" s="209">
        <f t="shared" ref="W13" si="38">IF(W23&gt;0,W12,"")</f>
        <v>19</v>
      </c>
      <c r="X13" s="209">
        <f t="shared" ref="X13" si="39">IF(X23&gt;0,X12,"")</f>
        <v>20</v>
      </c>
      <c r="Y13" s="209">
        <f t="shared" ref="Y13" si="40">IF(Y23&gt;0,Y12,"")</f>
        <v>21</v>
      </c>
      <c r="Z13" s="209">
        <f t="shared" ref="Z13" si="41">IF(Z23&gt;0,Z12,"")</f>
        <v>22</v>
      </c>
      <c r="AA13" s="209">
        <f t="shared" ref="AA13" si="42">IF(AA23&gt;0,AA12,"")</f>
        <v>23</v>
      </c>
      <c r="AB13" s="209">
        <f t="shared" ref="AB13" si="43">IF(AB23&gt;0,AB12,"")</f>
        <v>24</v>
      </c>
      <c r="AE13" s="209">
        <f t="shared" ref="AE13" si="44">IF(AE23&gt;0,AE12,"")</f>
        <v>25</v>
      </c>
      <c r="AF13" s="209">
        <f t="shared" ref="AF13" si="45">IF(AF23&gt;0,AF12,"")</f>
        <v>26</v>
      </c>
      <c r="AG13" s="209">
        <f t="shared" ref="AG13" si="46">IF(AG23&gt;0,AG12,"")</f>
        <v>27</v>
      </c>
      <c r="AH13" s="209">
        <f t="shared" ref="AH13" si="47">IF(AH23&gt;0,AH12,"")</f>
        <v>28</v>
      </c>
      <c r="AI13" s="209">
        <f t="shared" ref="AI13" si="48">IF(AI23&gt;0,AI12,"")</f>
        <v>29</v>
      </c>
      <c r="AJ13" s="209">
        <f t="shared" ref="AJ13" si="49">IF(AJ23&gt;0,AJ12,"")</f>
        <v>30</v>
      </c>
      <c r="AK13" s="209">
        <f t="shared" ref="AK13" si="50">IF(AK23&gt;0,AK12,"")</f>
        <v>31</v>
      </c>
      <c r="AL13" s="209">
        <f t="shared" ref="AL13" si="51">IF(AL23&gt;0,AL12,"")</f>
        <v>32</v>
      </c>
      <c r="AM13" s="209">
        <f t="shared" ref="AM13" si="52">IF(AM23&gt;0,AM12,"")</f>
        <v>33</v>
      </c>
      <c r="AN13" s="209">
        <f t="shared" ref="AN13" si="53">IF(AN23&gt;0,AN12,"")</f>
        <v>34</v>
      </c>
      <c r="AO13" s="209">
        <f t="shared" ref="AO13" si="54">IF(AO23&gt;0,AO12,"")</f>
        <v>35</v>
      </c>
      <c r="AP13" s="209">
        <f t="shared" ref="AP13" si="55">IF(AP23&gt;0,AP12,"")</f>
        <v>36</v>
      </c>
      <c r="AQ13" s="210"/>
      <c r="AR13" s="210"/>
      <c r="AS13" s="211"/>
      <c r="AT13" s="212"/>
    </row>
    <row r="14" spans="1:46" s="213" customFormat="1" ht="11" hidden="1" x14ac:dyDescent="0.15">
      <c r="A14" s="207" t="s">
        <v>136</v>
      </c>
      <c r="B14" s="220">
        <f>'Обобщенный расчет'!$D$6</f>
        <v>3000000</v>
      </c>
      <c r="C14" s="209"/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209"/>
      <c r="AQ14" s="210"/>
      <c r="AR14" s="210"/>
      <c r="AS14" s="211"/>
      <c r="AT14" s="212"/>
    </row>
    <row r="15" spans="1:46" s="213" customFormat="1" ht="11" hidden="1" x14ac:dyDescent="0.15">
      <c r="A15" s="207"/>
      <c r="B15" s="221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Q15" s="210"/>
      <c r="AR15" s="210"/>
      <c r="AS15" s="211"/>
      <c r="AT15" s="212"/>
    </row>
    <row r="16" spans="1:46" s="213" customFormat="1" ht="11" hidden="1" x14ac:dyDescent="0.15">
      <c r="A16" s="215" t="s">
        <v>133</v>
      </c>
      <c r="B16" s="221">
        <f>IF(B17&lt;30,1,ROUND(B17/30,0))</f>
        <v>1</v>
      </c>
      <c r="C16" s="209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Q16" s="210"/>
      <c r="AR16" s="210"/>
      <c r="AS16" s="211"/>
      <c r="AT16" s="212"/>
    </row>
    <row r="17" spans="1:46" s="213" customFormat="1" ht="11" hidden="1" x14ac:dyDescent="0.15">
      <c r="A17" s="216" t="s">
        <v>128</v>
      </c>
      <c r="B17" s="220">
        <f>'Обобщенный расчет'!$F$6</f>
        <v>30</v>
      </c>
      <c r="C17" s="227">
        <v>0</v>
      </c>
      <c r="D17" s="227">
        <f>C20</f>
        <v>750000</v>
      </c>
      <c r="E17" s="227">
        <f t="shared" ref="E17:L17" si="56">D20</f>
        <v>1050000</v>
      </c>
      <c r="F17" s="227">
        <f t="shared" si="56"/>
        <v>1530000</v>
      </c>
      <c r="G17" s="227">
        <f t="shared" si="56"/>
        <v>1530000</v>
      </c>
      <c r="H17" s="227">
        <f t="shared" si="56"/>
        <v>1530000</v>
      </c>
      <c r="I17" s="227">
        <f t="shared" si="56"/>
        <v>1530000</v>
      </c>
      <c r="J17" s="227">
        <f t="shared" si="56"/>
        <v>1530000</v>
      </c>
      <c r="K17" s="227">
        <f t="shared" si="56"/>
        <v>1530000</v>
      </c>
      <c r="L17" s="227">
        <f t="shared" si="56"/>
        <v>1530000</v>
      </c>
      <c r="M17" s="227">
        <f t="shared" ref="M17" si="57">L20</f>
        <v>1530000</v>
      </c>
      <c r="N17" s="227">
        <f t="shared" ref="N17" si="58">M20</f>
        <v>1530000</v>
      </c>
      <c r="Q17" s="209">
        <f>N20</f>
        <v>1530000</v>
      </c>
      <c r="R17" s="209">
        <f t="shared" ref="R17" si="59">Q20</f>
        <v>1530000</v>
      </c>
      <c r="S17" s="209">
        <f t="shared" ref="S17" si="60">R20</f>
        <v>1530000</v>
      </c>
      <c r="T17" s="209">
        <f t="shared" ref="T17" si="61">S20</f>
        <v>1530000</v>
      </c>
      <c r="U17" s="209">
        <f t="shared" ref="U17" si="62">T20</f>
        <v>1530000</v>
      </c>
      <c r="V17" s="209">
        <f t="shared" ref="V17" si="63">U20</f>
        <v>1530000</v>
      </c>
      <c r="W17" s="209">
        <f t="shared" ref="W17" si="64">V20</f>
        <v>1530000</v>
      </c>
      <c r="X17" s="209">
        <f t="shared" ref="X17" si="65">W20</f>
        <v>1530000</v>
      </c>
      <c r="Y17" s="209">
        <f t="shared" ref="Y17" si="66">X20</f>
        <v>1530000</v>
      </c>
      <c r="Z17" s="209">
        <f t="shared" ref="Z17" si="67">Y20</f>
        <v>1530000</v>
      </c>
      <c r="AA17" s="209">
        <f t="shared" ref="AA17" si="68">Z20</f>
        <v>1530000</v>
      </c>
      <c r="AB17" s="209">
        <f t="shared" ref="AB17" si="69">AA20</f>
        <v>1530000</v>
      </c>
      <c r="AE17" s="209">
        <f>AB20</f>
        <v>1530000</v>
      </c>
      <c r="AF17" s="209">
        <f t="shared" ref="AF17" si="70">AE20</f>
        <v>1530000</v>
      </c>
      <c r="AG17" s="209">
        <f t="shared" ref="AG17" si="71">AF20</f>
        <v>1530000</v>
      </c>
      <c r="AH17" s="209">
        <f t="shared" ref="AH17" si="72">AG20</f>
        <v>1530000</v>
      </c>
      <c r="AI17" s="209">
        <f t="shared" ref="AI17" si="73">AH20</f>
        <v>1530000</v>
      </c>
      <c r="AJ17" s="209">
        <f t="shared" ref="AJ17" si="74">AI20</f>
        <v>1530000</v>
      </c>
      <c r="AK17" s="209">
        <f t="shared" ref="AK17" si="75">AJ20</f>
        <v>1530000</v>
      </c>
      <c r="AL17" s="209">
        <f t="shared" ref="AL17" si="76">AK20</f>
        <v>1530000</v>
      </c>
      <c r="AM17" s="209">
        <f t="shared" ref="AM17" si="77">AL20</f>
        <v>1530000</v>
      </c>
      <c r="AN17" s="209">
        <f t="shared" ref="AN17" si="78">AM20</f>
        <v>1530000</v>
      </c>
      <c r="AO17" s="209">
        <f t="shared" ref="AO17" si="79">AN20</f>
        <v>1530000</v>
      </c>
      <c r="AP17" s="209">
        <f t="shared" ref="AP17" si="80">AO20</f>
        <v>1530000</v>
      </c>
      <c r="AQ17" s="210"/>
      <c r="AR17" s="210"/>
      <c r="AS17" s="211"/>
      <c r="AT17" s="212"/>
    </row>
    <row r="18" spans="1:46" s="213" customFormat="1" ht="11" hidden="1" x14ac:dyDescent="0.15">
      <c r="A18" s="216" t="s">
        <v>129</v>
      </c>
      <c r="B18" s="221"/>
      <c r="C18" s="227">
        <f>$B$14*C7</f>
        <v>750000</v>
      </c>
      <c r="D18" s="227">
        <f t="shared" ref="D18:N18" si="81">$B$14*D7</f>
        <v>1500000</v>
      </c>
      <c r="E18" s="227">
        <f t="shared" si="81"/>
        <v>2400000</v>
      </c>
      <c r="F18" s="227">
        <f t="shared" si="81"/>
        <v>3000000</v>
      </c>
      <c r="G18" s="227">
        <f t="shared" si="81"/>
        <v>3000000</v>
      </c>
      <c r="H18" s="227">
        <f t="shared" si="81"/>
        <v>3000000</v>
      </c>
      <c r="I18" s="227">
        <f t="shared" si="81"/>
        <v>3000000</v>
      </c>
      <c r="J18" s="227">
        <f t="shared" si="81"/>
        <v>3000000</v>
      </c>
      <c r="K18" s="227">
        <f t="shared" si="81"/>
        <v>3000000</v>
      </c>
      <c r="L18" s="227">
        <f t="shared" si="81"/>
        <v>3000000</v>
      </c>
      <c r="M18" s="227">
        <f t="shared" si="81"/>
        <v>3000000</v>
      </c>
      <c r="N18" s="227">
        <f t="shared" si="81"/>
        <v>3000000</v>
      </c>
      <c r="Q18" s="209">
        <f>$B$14*Q7</f>
        <v>3000000</v>
      </c>
      <c r="R18" s="209">
        <f t="shared" ref="R18:AB18" si="82">$B$14*R7</f>
        <v>3000000</v>
      </c>
      <c r="S18" s="209">
        <f t="shared" si="82"/>
        <v>3000000</v>
      </c>
      <c r="T18" s="209">
        <f t="shared" si="82"/>
        <v>3000000</v>
      </c>
      <c r="U18" s="209">
        <f t="shared" si="82"/>
        <v>3000000</v>
      </c>
      <c r="V18" s="209">
        <f t="shared" si="82"/>
        <v>3000000</v>
      </c>
      <c r="W18" s="209">
        <f t="shared" si="82"/>
        <v>3000000</v>
      </c>
      <c r="X18" s="209">
        <f t="shared" si="82"/>
        <v>3000000</v>
      </c>
      <c r="Y18" s="209">
        <f t="shared" si="82"/>
        <v>3000000</v>
      </c>
      <c r="Z18" s="209">
        <f t="shared" si="82"/>
        <v>3000000</v>
      </c>
      <c r="AA18" s="209">
        <f t="shared" si="82"/>
        <v>3000000</v>
      </c>
      <c r="AB18" s="209">
        <f t="shared" si="82"/>
        <v>3000000</v>
      </c>
      <c r="AE18" s="209">
        <f t="shared" ref="AE18:AP18" si="83">$B$14*AE7</f>
        <v>3000000</v>
      </c>
      <c r="AF18" s="209">
        <f t="shared" si="83"/>
        <v>3000000</v>
      </c>
      <c r="AG18" s="209">
        <f t="shared" si="83"/>
        <v>3000000</v>
      </c>
      <c r="AH18" s="209">
        <f t="shared" si="83"/>
        <v>3000000</v>
      </c>
      <c r="AI18" s="209">
        <f t="shared" si="83"/>
        <v>3000000</v>
      </c>
      <c r="AJ18" s="209">
        <f t="shared" si="83"/>
        <v>3000000</v>
      </c>
      <c r="AK18" s="209">
        <f t="shared" si="83"/>
        <v>3000000</v>
      </c>
      <c r="AL18" s="209">
        <f t="shared" si="83"/>
        <v>3000000</v>
      </c>
      <c r="AM18" s="209">
        <f t="shared" si="83"/>
        <v>3000000</v>
      </c>
      <c r="AN18" s="209">
        <f t="shared" si="83"/>
        <v>3000000</v>
      </c>
      <c r="AO18" s="209">
        <f t="shared" si="83"/>
        <v>3000000</v>
      </c>
      <c r="AP18" s="209">
        <f t="shared" si="83"/>
        <v>3000000</v>
      </c>
      <c r="AQ18" s="210"/>
      <c r="AR18" s="210"/>
      <c r="AS18" s="211"/>
      <c r="AT18" s="212"/>
    </row>
    <row r="19" spans="1:46" s="213" customFormat="1" ht="11" hidden="1" x14ac:dyDescent="0.15">
      <c r="A19" s="216" t="s">
        <v>130</v>
      </c>
      <c r="B19" s="221"/>
      <c r="C19" s="227">
        <f>IF(C12&gt;$B$16,C18-C23+C24,0)</f>
        <v>0</v>
      </c>
      <c r="D19" s="227">
        <f>IF(D12&gt;$B$16,D18-D23+D24,0)</f>
        <v>1200000</v>
      </c>
      <c r="E19" s="227">
        <f t="shared" ref="E19:I19" si="84">IF(E12&gt;$B$16,E18-E23+E24,0)</f>
        <v>1920000</v>
      </c>
      <c r="F19" s="227">
        <f t="shared" si="84"/>
        <v>3000000</v>
      </c>
      <c r="G19" s="227">
        <f t="shared" si="84"/>
        <v>3000000</v>
      </c>
      <c r="H19" s="227">
        <f t="shared" si="84"/>
        <v>3000000</v>
      </c>
      <c r="I19" s="227">
        <f t="shared" si="84"/>
        <v>3000000</v>
      </c>
      <c r="J19" s="227">
        <f t="shared" ref="J19" si="85">IF(J12&gt;$B$16,J18-J23+J24,0)</f>
        <v>3000000</v>
      </c>
      <c r="K19" s="227">
        <f t="shared" ref="K19" si="86">IF(K12&gt;$B$16,K18-K23+K24,0)</f>
        <v>3000000</v>
      </c>
      <c r="L19" s="227">
        <f t="shared" ref="L19" si="87">IF(L12&gt;$B$16,L18-L23+L24,0)</f>
        <v>3000000</v>
      </c>
      <c r="M19" s="227">
        <f t="shared" ref="M19:N19" si="88">IF(M12&gt;$B$16,M18-M23+M24,0)</f>
        <v>3000000</v>
      </c>
      <c r="N19" s="227">
        <f t="shared" si="88"/>
        <v>3000000</v>
      </c>
      <c r="Q19" s="227">
        <f>IF(Q12&gt;$B$16,Q18-Q23+Q24,0)</f>
        <v>3000000</v>
      </c>
      <c r="R19" s="227">
        <f>IF(R12&gt;$B$16,R18-R23+R24,0)</f>
        <v>3000000</v>
      </c>
      <c r="S19" s="227">
        <f t="shared" ref="S19" si="89">IF(S12&gt;$B$16,S18-S23+S24,0)</f>
        <v>3000000</v>
      </c>
      <c r="T19" s="227">
        <f t="shared" ref="T19" si="90">IF(T12&gt;$B$16,T18-T23+T24,0)</f>
        <v>3000000</v>
      </c>
      <c r="U19" s="227">
        <f t="shared" ref="U19" si="91">IF(U12&gt;$B$16,U18-U23+U24,0)</f>
        <v>3000000</v>
      </c>
      <c r="V19" s="227">
        <f t="shared" ref="V19" si="92">IF(V12&gt;$B$16,V18-V23+V24,0)</f>
        <v>3000000</v>
      </c>
      <c r="W19" s="227">
        <f t="shared" ref="W19" si="93">IF(W12&gt;$B$16,W18-W23+W24,0)</f>
        <v>3000000</v>
      </c>
      <c r="X19" s="227">
        <f t="shared" ref="X19" si="94">IF(X12&gt;$B$16,X18-X23+X24,0)</f>
        <v>3000000</v>
      </c>
      <c r="Y19" s="227">
        <f t="shared" ref="Y19" si="95">IF(Y12&gt;$B$16,Y18-Y23+Y24,0)</f>
        <v>3000000</v>
      </c>
      <c r="Z19" s="227">
        <f t="shared" ref="Z19" si="96">IF(Z12&gt;$B$16,Z18-Z23+Z24,0)</f>
        <v>3000000</v>
      </c>
      <c r="AA19" s="227">
        <f t="shared" ref="AA19" si="97">IF(AA12&gt;$B$16,AA18-AA23+AA24,0)</f>
        <v>3000000</v>
      </c>
      <c r="AB19" s="227">
        <f t="shared" ref="AB19" si="98">IF(AB12&gt;$B$16,AB18-AB23+AB24,0)</f>
        <v>3000000</v>
      </c>
      <c r="AE19" s="227">
        <f>IF(AE12&gt;$B$16,AE18-AE23+AE24,0)</f>
        <v>3000000</v>
      </c>
      <c r="AF19" s="227">
        <f>IF(AF12&gt;$B$16,AF18-AF23+AF24,0)</f>
        <v>3000000</v>
      </c>
      <c r="AG19" s="227">
        <f t="shared" ref="AG19" si="99">IF(AG12&gt;$B$16,AG18-AG23+AG24,0)</f>
        <v>3000000</v>
      </c>
      <c r="AH19" s="227">
        <f t="shared" ref="AH19" si="100">IF(AH12&gt;$B$16,AH18-AH23+AH24,0)</f>
        <v>3000000</v>
      </c>
      <c r="AI19" s="227">
        <f t="shared" ref="AI19" si="101">IF(AI12&gt;$B$16,AI18-AI23+AI24,0)</f>
        <v>3000000</v>
      </c>
      <c r="AJ19" s="227">
        <f t="shared" ref="AJ19" si="102">IF(AJ12&gt;$B$16,AJ18-AJ23+AJ24,0)</f>
        <v>3000000</v>
      </c>
      <c r="AK19" s="227">
        <f t="shared" ref="AK19" si="103">IF(AK12&gt;$B$16,AK18-AK23+AK24,0)</f>
        <v>3000000</v>
      </c>
      <c r="AL19" s="227">
        <f t="shared" ref="AL19" si="104">IF(AL12&gt;$B$16,AL18-AL23+AL24,0)</f>
        <v>3000000</v>
      </c>
      <c r="AM19" s="227">
        <f t="shared" ref="AM19" si="105">IF(AM12&gt;$B$16,AM18-AM23+AM24,0)</f>
        <v>3000000</v>
      </c>
      <c r="AN19" s="227">
        <f t="shared" ref="AN19" si="106">IF(AN12&gt;$B$16,AN18-AN23+AN24,0)</f>
        <v>3000000</v>
      </c>
      <c r="AO19" s="227">
        <f t="shared" ref="AO19" si="107">IF(AO12&gt;$B$16,AO18-AO23+AO24,0)</f>
        <v>3000000</v>
      </c>
      <c r="AP19" s="227">
        <f t="shared" ref="AP19" si="108">IF(AP12&gt;$B$16,AP18-AP23+AP24,0)</f>
        <v>3000000</v>
      </c>
      <c r="AQ19" s="210"/>
      <c r="AR19" s="210"/>
      <c r="AS19" s="211"/>
      <c r="AT19" s="212"/>
    </row>
    <row r="20" spans="1:46" s="213" customFormat="1" ht="11" hidden="1" x14ac:dyDescent="0.15">
      <c r="A20" s="216" t="s">
        <v>131</v>
      </c>
      <c r="B20" s="221"/>
      <c r="C20" s="227">
        <f t="shared" ref="C20" si="109">C17+C18-C19</f>
        <v>750000</v>
      </c>
      <c r="D20" s="227">
        <f t="shared" ref="D20" si="110">D17+D18-D19</f>
        <v>1050000</v>
      </c>
      <c r="E20" s="227">
        <f t="shared" ref="E20" si="111">E17+E18-E19</f>
        <v>1530000</v>
      </c>
      <c r="F20" s="227">
        <f t="shared" ref="F20" si="112">F17+F18-F19</f>
        <v>1530000</v>
      </c>
      <c r="G20" s="227">
        <f t="shared" ref="G20" si="113">G17+G18-G19</f>
        <v>1530000</v>
      </c>
      <c r="H20" s="227">
        <f t="shared" ref="H20" si="114">H17+H18-H19</f>
        <v>1530000</v>
      </c>
      <c r="I20" s="227">
        <f t="shared" ref="I20" si="115">I17+I18-I19</f>
        <v>1530000</v>
      </c>
      <c r="J20" s="227">
        <f t="shared" ref="J20" si="116">J17+J18-J19</f>
        <v>1530000</v>
      </c>
      <c r="K20" s="227">
        <f t="shared" ref="K20" si="117">K17+K18-K19</f>
        <v>1530000</v>
      </c>
      <c r="L20" s="227">
        <f t="shared" ref="L20" si="118">L17+L18-L19</f>
        <v>1530000</v>
      </c>
      <c r="M20" s="227">
        <f t="shared" ref="M20" si="119">M17+M18-M19</f>
        <v>1530000</v>
      </c>
      <c r="N20" s="227">
        <f t="shared" ref="N20" si="120">N17+N18-N19</f>
        <v>1530000</v>
      </c>
      <c r="Q20" s="209">
        <f t="shared" ref="Q20" si="121">Q17+Q18-Q19</f>
        <v>1530000</v>
      </c>
      <c r="R20" s="209">
        <f t="shared" ref="R20" si="122">R17+R18-R19</f>
        <v>1530000</v>
      </c>
      <c r="S20" s="209">
        <f t="shared" ref="S20" si="123">S17+S18-S19</f>
        <v>1530000</v>
      </c>
      <c r="T20" s="209">
        <f t="shared" ref="T20" si="124">T17+T18-T19</f>
        <v>1530000</v>
      </c>
      <c r="U20" s="209">
        <f t="shared" ref="U20" si="125">U17+U18-U19</f>
        <v>1530000</v>
      </c>
      <c r="V20" s="209">
        <f t="shared" ref="V20" si="126">V17+V18-V19</f>
        <v>1530000</v>
      </c>
      <c r="W20" s="209">
        <f t="shared" ref="W20" si="127">W17+W18-W19</f>
        <v>1530000</v>
      </c>
      <c r="X20" s="209">
        <f t="shared" ref="X20" si="128">X17+X18-X19</f>
        <v>1530000</v>
      </c>
      <c r="Y20" s="209">
        <f t="shared" ref="Y20" si="129">Y17+Y18-Y19</f>
        <v>1530000</v>
      </c>
      <c r="Z20" s="209">
        <f t="shared" ref="Z20" si="130">Z17+Z18-Z19</f>
        <v>1530000</v>
      </c>
      <c r="AA20" s="209">
        <f t="shared" ref="AA20" si="131">AA17+AA18-AA19</f>
        <v>1530000</v>
      </c>
      <c r="AB20" s="209">
        <f t="shared" ref="AB20" si="132">AB17+AB18-AB19</f>
        <v>1530000</v>
      </c>
      <c r="AE20" s="209">
        <f t="shared" ref="AE20" si="133">AE17+AE18-AE19</f>
        <v>1530000</v>
      </c>
      <c r="AF20" s="209">
        <f t="shared" ref="AF20" si="134">AF17+AF18-AF19</f>
        <v>1530000</v>
      </c>
      <c r="AG20" s="209">
        <f t="shared" ref="AG20" si="135">AG17+AG18-AG19</f>
        <v>1530000</v>
      </c>
      <c r="AH20" s="209">
        <f t="shared" ref="AH20" si="136">AH17+AH18-AH19</f>
        <v>1530000</v>
      </c>
      <c r="AI20" s="209">
        <f t="shared" ref="AI20" si="137">AI17+AI18-AI19</f>
        <v>1530000</v>
      </c>
      <c r="AJ20" s="209">
        <f t="shared" ref="AJ20" si="138">AJ17+AJ18-AJ19</f>
        <v>1530000</v>
      </c>
      <c r="AK20" s="209">
        <f t="shared" ref="AK20" si="139">AK17+AK18-AK19</f>
        <v>1530000</v>
      </c>
      <c r="AL20" s="209">
        <f t="shared" ref="AL20" si="140">AL17+AL18-AL19</f>
        <v>1530000</v>
      </c>
      <c r="AM20" s="209">
        <f t="shared" ref="AM20" si="141">AM17+AM18-AM19</f>
        <v>1530000</v>
      </c>
      <c r="AN20" s="209">
        <f t="shared" ref="AN20" si="142">AN17+AN18-AN19</f>
        <v>1530000</v>
      </c>
      <c r="AO20" s="209">
        <f t="shared" ref="AO20" si="143">AO17+AO18-AO19</f>
        <v>1530000</v>
      </c>
      <c r="AP20" s="209">
        <f t="shared" ref="AP20" si="144">AP17+AP18-AP19</f>
        <v>1530000</v>
      </c>
      <c r="AQ20" s="210"/>
      <c r="AR20" s="210"/>
      <c r="AS20" s="211"/>
      <c r="AT20" s="212"/>
    </row>
    <row r="21" spans="1:46" s="213" customFormat="1" ht="11" hidden="1" x14ac:dyDescent="0.15">
      <c r="A21" s="215" t="s">
        <v>134</v>
      </c>
      <c r="B21" s="221">
        <f>IF(B22&lt;30,1,ROUND(B22/30,0))</f>
        <v>2</v>
      </c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Q21" s="210"/>
      <c r="AR21" s="210"/>
      <c r="AS21" s="211"/>
      <c r="AT21" s="212"/>
    </row>
    <row r="22" spans="1:46" s="213" customFormat="1" ht="11" hidden="1" x14ac:dyDescent="0.15">
      <c r="A22" s="216" t="s">
        <v>128</v>
      </c>
      <c r="B22" s="220">
        <f>'Обобщенный расчет'!$F$15</f>
        <v>60</v>
      </c>
      <c r="C22" s="227">
        <v>0</v>
      </c>
      <c r="D22" s="227">
        <f>C25</f>
        <v>0</v>
      </c>
      <c r="E22" s="227">
        <f t="shared" ref="E22:L22" si="145">D25</f>
        <v>300000</v>
      </c>
      <c r="F22" s="227">
        <f t="shared" si="145"/>
        <v>780000</v>
      </c>
      <c r="G22" s="227">
        <f t="shared" si="145"/>
        <v>780000</v>
      </c>
      <c r="H22" s="227">
        <f t="shared" si="145"/>
        <v>780000</v>
      </c>
      <c r="I22" s="227">
        <f t="shared" si="145"/>
        <v>780000</v>
      </c>
      <c r="J22" s="227">
        <f t="shared" si="145"/>
        <v>780000</v>
      </c>
      <c r="K22" s="227">
        <f t="shared" si="145"/>
        <v>780000</v>
      </c>
      <c r="L22" s="227">
        <f t="shared" si="145"/>
        <v>780000</v>
      </c>
      <c r="M22" s="227">
        <f t="shared" ref="M22" si="146">L25</f>
        <v>780000</v>
      </c>
      <c r="N22" s="227">
        <f t="shared" ref="N22" si="147">M25</f>
        <v>780000</v>
      </c>
      <c r="Q22" s="209">
        <f>N25</f>
        <v>780000</v>
      </c>
      <c r="R22" s="209">
        <f t="shared" ref="R22" si="148">Q25</f>
        <v>780000</v>
      </c>
      <c r="S22" s="209">
        <f t="shared" ref="S22" si="149">R25</f>
        <v>780000</v>
      </c>
      <c r="T22" s="209">
        <f t="shared" ref="T22" si="150">S25</f>
        <v>780000</v>
      </c>
      <c r="U22" s="209">
        <f t="shared" ref="U22" si="151">T25</f>
        <v>780000</v>
      </c>
      <c r="V22" s="209">
        <f t="shared" ref="V22" si="152">U25</f>
        <v>780000</v>
      </c>
      <c r="W22" s="209">
        <f t="shared" ref="W22" si="153">V25</f>
        <v>780000</v>
      </c>
      <c r="X22" s="209">
        <f t="shared" ref="X22" si="154">W25</f>
        <v>780000</v>
      </c>
      <c r="Y22" s="209">
        <f t="shared" ref="Y22" si="155">X25</f>
        <v>780000</v>
      </c>
      <c r="Z22" s="209">
        <f t="shared" ref="Z22" si="156">Y25</f>
        <v>780000</v>
      </c>
      <c r="AA22" s="209">
        <f t="shared" ref="AA22" si="157">Z25</f>
        <v>780000</v>
      </c>
      <c r="AB22" s="209">
        <f t="shared" ref="AB22" si="158">AA25</f>
        <v>780000</v>
      </c>
      <c r="AE22" s="209">
        <f>AB25</f>
        <v>780000</v>
      </c>
      <c r="AF22" s="209">
        <f t="shared" ref="AF22" si="159">AE25</f>
        <v>780000</v>
      </c>
      <c r="AG22" s="209">
        <f t="shared" ref="AG22" si="160">AF25</f>
        <v>780000</v>
      </c>
      <c r="AH22" s="209">
        <f t="shared" ref="AH22" si="161">AG25</f>
        <v>780000</v>
      </c>
      <c r="AI22" s="209">
        <f t="shared" ref="AI22" si="162">AH25</f>
        <v>780000</v>
      </c>
      <c r="AJ22" s="209">
        <f t="shared" ref="AJ22" si="163">AI25</f>
        <v>780000</v>
      </c>
      <c r="AK22" s="209">
        <f t="shared" ref="AK22" si="164">AJ25</f>
        <v>780000</v>
      </c>
      <c r="AL22" s="209">
        <f t="shared" ref="AL22" si="165">AK25</f>
        <v>780000</v>
      </c>
      <c r="AM22" s="209">
        <f t="shared" ref="AM22" si="166">AL25</f>
        <v>780000</v>
      </c>
      <c r="AN22" s="209">
        <f t="shared" ref="AN22" si="167">AM25</f>
        <v>780000</v>
      </c>
      <c r="AO22" s="209">
        <f t="shared" ref="AO22" si="168">AN25</f>
        <v>780000</v>
      </c>
      <c r="AP22" s="209">
        <f t="shared" ref="AP22" si="169">AO25</f>
        <v>780000</v>
      </c>
      <c r="AQ22" s="210"/>
      <c r="AR22" s="210"/>
      <c r="AS22" s="211"/>
      <c r="AT22" s="212"/>
    </row>
    <row r="23" spans="1:46" s="213" customFormat="1" ht="11" hidden="1" x14ac:dyDescent="0.15">
      <c r="A23" s="216" t="s">
        <v>135</v>
      </c>
      <c r="B23" s="221">
        <f>B14*'Обобщенный расчет'!D15</f>
        <v>600000</v>
      </c>
      <c r="C23" s="227">
        <f>IF(C12&gt;$B$16,C18*'Обобщенный расчет'!$D$15,0)</f>
        <v>0</v>
      </c>
      <c r="D23" s="227">
        <f>IF(D12&gt;$B$16,D18*'Обобщенный расчет'!$D$15,0)</f>
        <v>300000</v>
      </c>
      <c r="E23" s="227">
        <f>IF(E12&gt;$B$16,E18*'Обобщенный расчет'!$D$15,0)</f>
        <v>480000</v>
      </c>
      <c r="F23" s="227">
        <f>IF(F12&gt;$B$16,F18*'Обобщенный расчет'!$D$15,0)</f>
        <v>600000</v>
      </c>
      <c r="G23" s="227">
        <f>IF(G12&gt;$B$16,G18*'Обобщенный расчет'!$D$15,0)</f>
        <v>600000</v>
      </c>
      <c r="H23" s="227">
        <f>IF(H12&gt;$B$16,H18*'Обобщенный расчет'!$D$15,0)</f>
        <v>600000</v>
      </c>
      <c r="I23" s="227">
        <f>IF(I12&gt;$B$16,I18*'Обобщенный расчет'!$D$15,0)</f>
        <v>600000</v>
      </c>
      <c r="J23" s="227">
        <f>IF(J12&gt;$B$16,J18*'Обобщенный расчет'!$D$15,0)</f>
        <v>600000</v>
      </c>
      <c r="K23" s="227">
        <f>IF(K12&gt;$B$16,K18*'Обобщенный расчет'!$D$15,0)</f>
        <v>600000</v>
      </c>
      <c r="L23" s="227">
        <f>IF(L12&gt;$B$16,L18*'Обобщенный расчет'!$D$15,0)</f>
        <v>600000</v>
      </c>
      <c r="M23" s="227">
        <f>IF(M12&gt;$B$16,M18*'Обобщенный расчет'!$D$15,0)</f>
        <v>600000</v>
      </c>
      <c r="N23" s="227">
        <f>IF(N12&gt;$B$16,N18*'Обобщенный расчет'!$D$15,0)</f>
        <v>600000</v>
      </c>
      <c r="Q23" s="209">
        <f>IF(Q12&gt;$B$16,Q18*'Обобщенный расчет'!$D$15,0)</f>
        <v>600000</v>
      </c>
      <c r="R23" s="209">
        <f>IF(R12&gt;$B$16,R18*'Обобщенный расчет'!$D$15,0)</f>
        <v>600000</v>
      </c>
      <c r="S23" s="209">
        <f>IF(S12&gt;$B$16,S18*'Обобщенный расчет'!$D$15,0)</f>
        <v>600000</v>
      </c>
      <c r="T23" s="209">
        <f>IF(T12&gt;$B$16,T18*'Обобщенный расчет'!$D$15,0)</f>
        <v>600000</v>
      </c>
      <c r="U23" s="209">
        <f>IF(U12&gt;$B$16,U18*'Обобщенный расчет'!$D$15,0)</f>
        <v>600000</v>
      </c>
      <c r="V23" s="209">
        <f>IF(V12&gt;$B$16,V18*'Обобщенный расчет'!$D$15,0)</f>
        <v>600000</v>
      </c>
      <c r="W23" s="209">
        <f>IF(W12&gt;$B$16,W18*'Обобщенный расчет'!$D$15,0)</f>
        <v>600000</v>
      </c>
      <c r="X23" s="209">
        <f>IF(X12&gt;$B$16,X18*'Обобщенный расчет'!$D$15,0)</f>
        <v>600000</v>
      </c>
      <c r="Y23" s="209">
        <f>IF(Y12&gt;$B$16,Y18*'Обобщенный расчет'!$D$15,0)</f>
        <v>600000</v>
      </c>
      <c r="Z23" s="209">
        <f>IF(Z12&gt;$B$16,Z18*'Обобщенный расчет'!$D$15,0)</f>
        <v>600000</v>
      </c>
      <c r="AA23" s="209">
        <f>IF(AA12&gt;$B$16,AA18*'Обобщенный расчет'!$D$15,0)</f>
        <v>600000</v>
      </c>
      <c r="AB23" s="209">
        <f>IF(AB12&gt;$B$16,AB18*'Обобщенный расчет'!$D$15,0)</f>
        <v>600000</v>
      </c>
      <c r="AE23" s="209">
        <f>IF(AE12&gt;$B$16,AE18*'Обобщенный расчет'!$D$15,0)</f>
        <v>600000</v>
      </c>
      <c r="AF23" s="209">
        <f>IF(AF12&gt;$B$16,AF18*'Обобщенный расчет'!$D$15,0)</f>
        <v>600000</v>
      </c>
      <c r="AG23" s="209">
        <f>IF(AG12&gt;$B$16,AG18*'Обобщенный расчет'!$D$15,0)</f>
        <v>600000</v>
      </c>
      <c r="AH23" s="209">
        <f>IF(AH12&gt;$B$16,AH18*'Обобщенный расчет'!$D$15,0)</f>
        <v>600000</v>
      </c>
      <c r="AI23" s="209">
        <f>IF(AI12&gt;$B$16,AI18*'Обобщенный расчет'!$D$15,0)</f>
        <v>600000</v>
      </c>
      <c r="AJ23" s="209">
        <f>IF(AJ12&gt;$B$16,AJ18*'Обобщенный расчет'!$D$15,0)</f>
        <v>600000</v>
      </c>
      <c r="AK23" s="209">
        <f>IF(AK12&gt;$B$16,AK18*'Обобщенный расчет'!$D$15,0)</f>
        <v>600000</v>
      </c>
      <c r="AL23" s="209">
        <f>IF(AL12&gt;$B$16,AL18*'Обобщенный расчет'!$D$15,0)</f>
        <v>600000</v>
      </c>
      <c r="AM23" s="209">
        <f>IF(AM12&gt;$B$16,AM18*'Обобщенный расчет'!$D$15,0)</f>
        <v>600000</v>
      </c>
      <c r="AN23" s="209">
        <f>IF(AN12&gt;$B$16,AN18*'Обобщенный расчет'!$D$15,0)</f>
        <v>600000</v>
      </c>
      <c r="AO23" s="209">
        <f>IF(AO12&gt;$B$16,AO18*'Обобщенный расчет'!$D$15,0)</f>
        <v>600000</v>
      </c>
      <c r="AP23" s="209">
        <f>IF(AP12&gt;$B$16,AP18*'Обобщенный расчет'!$D$15,0)</f>
        <v>600000</v>
      </c>
      <c r="AQ23" s="210"/>
      <c r="AR23" s="210"/>
      <c r="AS23" s="211"/>
      <c r="AT23" s="212"/>
    </row>
    <row r="24" spans="1:46" s="213" customFormat="1" ht="11" hidden="1" x14ac:dyDescent="0.15">
      <c r="A24" s="216" t="s">
        <v>127</v>
      </c>
      <c r="B24" s="222"/>
      <c r="C24" s="227">
        <f t="shared" ref="C24:L24" si="170">IF(C12&gt;=($B$13+$B$21),$B$23,0)</f>
        <v>0</v>
      </c>
      <c r="D24" s="227">
        <f t="shared" si="170"/>
        <v>0</v>
      </c>
      <c r="E24" s="227">
        <f t="shared" si="170"/>
        <v>0</v>
      </c>
      <c r="F24" s="227">
        <f t="shared" si="170"/>
        <v>600000</v>
      </c>
      <c r="G24" s="227">
        <f t="shared" si="170"/>
        <v>600000</v>
      </c>
      <c r="H24" s="227">
        <f t="shared" si="170"/>
        <v>600000</v>
      </c>
      <c r="I24" s="227">
        <f t="shared" si="170"/>
        <v>600000</v>
      </c>
      <c r="J24" s="227">
        <f t="shared" si="170"/>
        <v>600000</v>
      </c>
      <c r="K24" s="227">
        <f t="shared" si="170"/>
        <v>600000</v>
      </c>
      <c r="L24" s="227">
        <f t="shared" si="170"/>
        <v>600000</v>
      </c>
      <c r="M24" s="227">
        <f t="shared" ref="M24:N24" si="171">IF(M12&gt;=($B$13+$B$21),$B$23,0)</f>
        <v>600000</v>
      </c>
      <c r="N24" s="227">
        <f t="shared" si="171"/>
        <v>600000</v>
      </c>
      <c r="Q24" s="209">
        <f t="shared" ref="Q24:R24" si="172">IF(Q12&gt;=($B$13+$B$21),$B$23,0)</f>
        <v>600000</v>
      </c>
      <c r="R24" s="209">
        <f t="shared" si="172"/>
        <v>600000</v>
      </c>
      <c r="S24" s="209">
        <f t="shared" ref="S24:AB24" si="173">IF(S12&gt;=($B$13+$B$21),$B$23,0)</f>
        <v>600000</v>
      </c>
      <c r="T24" s="209">
        <f t="shared" si="173"/>
        <v>600000</v>
      </c>
      <c r="U24" s="209">
        <f t="shared" si="173"/>
        <v>600000</v>
      </c>
      <c r="V24" s="209">
        <f t="shared" si="173"/>
        <v>600000</v>
      </c>
      <c r="W24" s="209">
        <f t="shared" si="173"/>
        <v>600000</v>
      </c>
      <c r="X24" s="209">
        <f t="shared" si="173"/>
        <v>600000</v>
      </c>
      <c r="Y24" s="209">
        <f t="shared" si="173"/>
        <v>600000</v>
      </c>
      <c r="Z24" s="209">
        <f t="shared" si="173"/>
        <v>600000</v>
      </c>
      <c r="AA24" s="209">
        <f t="shared" si="173"/>
        <v>600000</v>
      </c>
      <c r="AB24" s="209">
        <f t="shared" si="173"/>
        <v>600000</v>
      </c>
      <c r="AE24" s="209">
        <f>IF(AE12&gt;=($B$13+$B$21),$B$23,0)</f>
        <v>600000</v>
      </c>
      <c r="AF24" s="209">
        <f>IF(AF12&gt;=($B$13+$B$21),$B$23,0)</f>
        <v>600000</v>
      </c>
      <c r="AG24" s="209">
        <f t="shared" ref="AG24:AP24" si="174">IF(AG12&gt;=($B$13+$B$21),$B$23,0)</f>
        <v>600000</v>
      </c>
      <c r="AH24" s="209">
        <f t="shared" si="174"/>
        <v>600000</v>
      </c>
      <c r="AI24" s="209">
        <f t="shared" si="174"/>
        <v>600000</v>
      </c>
      <c r="AJ24" s="209">
        <f t="shared" si="174"/>
        <v>600000</v>
      </c>
      <c r="AK24" s="209">
        <f t="shared" si="174"/>
        <v>600000</v>
      </c>
      <c r="AL24" s="209">
        <f t="shared" si="174"/>
        <v>600000</v>
      </c>
      <c r="AM24" s="209">
        <f t="shared" si="174"/>
        <v>600000</v>
      </c>
      <c r="AN24" s="209">
        <f t="shared" si="174"/>
        <v>600000</v>
      </c>
      <c r="AO24" s="209">
        <f t="shared" si="174"/>
        <v>600000</v>
      </c>
      <c r="AP24" s="209">
        <f t="shared" si="174"/>
        <v>600000</v>
      </c>
      <c r="AQ24" s="210"/>
      <c r="AR24" s="210"/>
      <c r="AS24" s="211"/>
      <c r="AT24" s="212"/>
    </row>
    <row r="25" spans="1:46" s="213" customFormat="1" ht="11" hidden="1" x14ac:dyDescent="0.15">
      <c r="A25" s="216" t="s">
        <v>131</v>
      </c>
      <c r="B25" s="221"/>
      <c r="C25" s="227">
        <f>C22+C23-C24</f>
        <v>0</v>
      </c>
      <c r="D25" s="227">
        <f t="shared" ref="D25:L25" si="175">D22+D23-D24</f>
        <v>300000</v>
      </c>
      <c r="E25" s="227">
        <f t="shared" si="175"/>
        <v>780000</v>
      </c>
      <c r="F25" s="227">
        <f t="shared" si="175"/>
        <v>780000</v>
      </c>
      <c r="G25" s="227">
        <f t="shared" si="175"/>
        <v>780000</v>
      </c>
      <c r="H25" s="227">
        <f t="shared" si="175"/>
        <v>780000</v>
      </c>
      <c r="I25" s="227">
        <f t="shared" si="175"/>
        <v>780000</v>
      </c>
      <c r="J25" s="227">
        <f t="shared" si="175"/>
        <v>780000</v>
      </c>
      <c r="K25" s="227">
        <f t="shared" si="175"/>
        <v>780000</v>
      </c>
      <c r="L25" s="227">
        <f t="shared" si="175"/>
        <v>780000</v>
      </c>
      <c r="M25" s="227">
        <f t="shared" ref="M25:N25" si="176">M22+M23-M24</f>
        <v>780000</v>
      </c>
      <c r="N25" s="227">
        <f t="shared" si="176"/>
        <v>780000</v>
      </c>
      <c r="Q25" s="209">
        <f t="shared" ref="Q25:R25" si="177">Q22+Q23-Q24</f>
        <v>780000</v>
      </c>
      <c r="R25" s="209">
        <f t="shared" si="177"/>
        <v>780000</v>
      </c>
      <c r="S25" s="209">
        <f t="shared" ref="S25:AB25" si="178">S22+S23-S24</f>
        <v>780000</v>
      </c>
      <c r="T25" s="209">
        <f t="shared" si="178"/>
        <v>780000</v>
      </c>
      <c r="U25" s="209">
        <f t="shared" si="178"/>
        <v>780000</v>
      </c>
      <c r="V25" s="209">
        <f t="shared" si="178"/>
        <v>780000</v>
      </c>
      <c r="W25" s="209">
        <f t="shared" si="178"/>
        <v>780000</v>
      </c>
      <c r="X25" s="209">
        <f t="shared" si="178"/>
        <v>780000</v>
      </c>
      <c r="Y25" s="209">
        <f t="shared" si="178"/>
        <v>780000</v>
      </c>
      <c r="Z25" s="209">
        <f t="shared" si="178"/>
        <v>780000</v>
      </c>
      <c r="AA25" s="209">
        <f t="shared" si="178"/>
        <v>780000</v>
      </c>
      <c r="AB25" s="209">
        <f t="shared" si="178"/>
        <v>780000</v>
      </c>
      <c r="AE25" s="209">
        <f>AE22+AE23-AE24</f>
        <v>780000</v>
      </c>
      <c r="AF25" s="209">
        <f>AF22+AF23-AF24</f>
        <v>780000</v>
      </c>
      <c r="AG25" s="209">
        <f t="shared" ref="AG25:AP25" si="179">AG22+AG23-AG24</f>
        <v>780000</v>
      </c>
      <c r="AH25" s="209">
        <f t="shared" si="179"/>
        <v>780000</v>
      </c>
      <c r="AI25" s="209">
        <f t="shared" si="179"/>
        <v>780000</v>
      </c>
      <c r="AJ25" s="209">
        <f t="shared" si="179"/>
        <v>780000</v>
      </c>
      <c r="AK25" s="209">
        <f t="shared" si="179"/>
        <v>780000</v>
      </c>
      <c r="AL25" s="209">
        <f t="shared" si="179"/>
        <v>780000</v>
      </c>
      <c r="AM25" s="209">
        <f t="shared" si="179"/>
        <v>780000</v>
      </c>
      <c r="AN25" s="209">
        <f t="shared" si="179"/>
        <v>780000</v>
      </c>
      <c r="AO25" s="209">
        <f t="shared" si="179"/>
        <v>780000</v>
      </c>
      <c r="AP25" s="209">
        <f t="shared" si="179"/>
        <v>780000</v>
      </c>
      <c r="AQ25" s="210"/>
      <c r="AR25" s="210"/>
      <c r="AS25" s="211"/>
      <c r="AT25" s="212"/>
    </row>
    <row r="26" spans="1:46" s="213" customFormat="1" ht="11" hidden="1" x14ac:dyDescent="0.15">
      <c r="A26" s="216"/>
      <c r="B26" s="221"/>
      <c r="C26" s="227"/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Q26" s="209"/>
      <c r="R26" s="209"/>
      <c r="S26" s="209"/>
      <c r="T26" s="209"/>
      <c r="U26" s="209"/>
      <c r="V26" s="209"/>
      <c r="W26" s="209"/>
      <c r="X26" s="209"/>
      <c r="Y26" s="209"/>
      <c r="Z26" s="209"/>
      <c r="AA26" s="209"/>
      <c r="AB26" s="209"/>
      <c r="AE26" s="209"/>
      <c r="AF26" s="209"/>
      <c r="AG26" s="209"/>
      <c r="AH26" s="209"/>
      <c r="AI26" s="209"/>
      <c r="AJ26" s="209"/>
      <c r="AK26" s="209"/>
      <c r="AL26" s="209"/>
      <c r="AM26" s="209"/>
      <c r="AN26" s="209"/>
      <c r="AO26" s="209"/>
      <c r="AP26" s="209"/>
      <c r="AQ26" s="210"/>
      <c r="AR26" s="210"/>
      <c r="AS26" s="211"/>
      <c r="AT26" s="212"/>
    </row>
    <row r="27" spans="1:46" s="35" customFormat="1" ht="11" hidden="1" x14ac:dyDescent="0.15">
      <c r="A27" s="82"/>
      <c r="B27" s="90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73"/>
      <c r="AR27" s="73"/>
      <c r="AS27" s="154"/>
      <c r="AT27" s="34"/>
    </row>
    <row r="28" spans="1:46" s="35" customFormat="1" ht="11" hidden="1" x14ac:dyDescent="0.15">
      <c r="A28" s="207" t="s">
        <v>132</v>
      </c>
      <c r="B28" s="221"/>
      <c r="C28" s="209">
        <f>IF(C19&gt;0,$B$14*'Обобщенный расчет'!$F$12,0)</f>
        <v>0</v>
      </c>
      <c r="D28" s="209">
        <f>IF(D19&gt;0,$B$14*'Обобщенный расчет'!$F$12,0)</f>
        <v>600000</v>
      </c>
      <c r="E28" s="209">
        <f>IF(E19&gt;0,$B$14*'Обобщенный расчет'!$F$12,0)</f>
        <v>600000</v>
      </c>
      <c r="F28" s="209">
        <f>IF(F19&gt;0,$B$14*'Обобщенный расчет'!$F$12,0)</f>
        <v>600000</v>
      </c>
      <c r="G28" s="209">
        <f>IF(G19&gt;0,$B$14*'Обобщенный расчет'!$F$12,0)</f>
        <v>600000</v>
      </c>
      <c r="H28" s="209">
        <f>IF(H19&gt;0,$B$14*'Обобщенный расчет'!$F$12,0)</f>
        <v>600000</v>
      </c>
      <c r="I28" s="209">
        <f>IF(I19&gt;0,$B$14*'Обобщенный расчет'!$F$12,0)</f>
        <v>600000</v>
      </c>
      <c r="J28" s="209">
        <f>IF(J19&gt;0,$B$14*'Обобщенный расчет'!$F$12,0)</f>
        <v>600000</v>
      </c>
      <c r="K28" s="209">
        <f>IF(K19&gt;0,$B$14*'Обобщенный расчет'!$F$12,0)</f>
        <v>600000</v>
      </c>
      <c r="L28" s="209">
        <f>IF(L19&gt;0,$B$14*'Обобщенный расчет'!$F$12,0)</f>
        <v>600000</v>
      </c>
      <c r="M28" s="209">
        <f>IF(M19&gt;0,$B$14*'Обобщенный расчет'!$F$12,0)</f>
        <v>600000</v>
      </c>
      <c r="N28" s="209">
        <f>IF(N19&gt;0,$B$14*'Обобщенный расчет'!$F$12,0)</f>
        <v>600000</v>
      </c>
      <c r="Q28" s="209">
        <f>IF(Q19&gt;0,$B$14*'Обобщенный расчет'!$F$12,0)</f>
        <v>600000</v>
      </c>
      <c r="R28" s="209">
        <f>IF(R19&gt;0,$B$14*'Обобщенный расчет'!$F$12,0)</f>
        <v>600000</v>
      </c>
      <c r="S28" s="209">
        <f>IF(S19&gt;0,$B$14*'Обобщенный расчет'!$F$12,0)</f>
        <v>600000</v>
      </c>
      <c r="T28" s="209">
        <f>IF(T19&gt;0,$B$14*'Обобщенный расчет'!$F$12,0)</f>
        <v>600000</v>
      </c>
      <c r="U28" s="209">
        <f>IF(U19&gt;0,$B$14*'Обобщенный расчет'!$F$12,0)</f>
        <v>600000</v>
      </c>
      <c r="V28" s="209">
        <f>IF(V19&gt;0,$B$14*'Обобщенный расчет'!$F$12,0)</f>
        <v>600000</v>
      </c>
      <c r="W28" s="209">
        <f>IF(W19&gt;0,$B$14*'Обобщенный расчет'!$F$12,0)</f>
        <v>600000</v>
      </c>
      <c r="X28" s="209">
        <f>IF(X19&gt;0,$B$14*'Обобщенный расчет'!$F$12,0)</f>
        <v>600000</v>
      </c>
      <c r="Y28" s="209">
        <f>IF(Y19&gt;0,$B$14*'Обобщенный расчет'!$F$12,0)</f>
        <v>600000</v>
      </c>
      <c r="Z28" s="209">
        <f>IF(Z19&gt;0,$B$14*'Обобщенный расчет'!$F$12,0)</f>
        <v>600000</v>
      </c>
      <c r="AA28" s="209">
        <f>IF(AA19&gt;0,$B$14*'Обобщенный расчет'!$F$12,0)</f>
        <v>600000</v>
      </c>
      <c r="AB28" s="209">
        <f>IF(AB19&gt;0,$B$14*'Обобщенный расчет'!$F$12,0)</f>
        <v>600000</v>
      </c>
      <c r="AE28" s="209">
        <f>IF(AE19&gt;0,$B$14*'Обобщенный расчет'!$F$12,0)</f>
        <v>600000</v>
      </c>
      <c r="AF28" s="209">
        <f>IF(AF19&gt;0,$B$14*'Обобщенный расчет'!$F$12,0)</f>
        <v>600000</v>
      </c>
      <c r="AG28" s="209">
        <f>IF(AG19&gt;0,$B$14*'Обобщенный расчет'!$F$12,0)</f>
        <v>600000</v>
      </c>
      <c r="AH28" s="209">
        <f>IF(AH19&gt;0,$B$14*'Обобщенный расчет'!$F$12,0)</f>
        <v>600000</v>
      </c>
      <c r="AI28" s="209">
        <f>IF(AI19&gt;0,$B$14*'Обобщенный расчет'!$F$12,0)</f>
        <v>600000</v>
      </c>
      <c r="AJ28" s="209">
        <f>IF(AJ19&gt;0,$B$14*'Обобщенный расчет'!$F$12,0)</f>
        <v>600000</v>
      </c>
      <c r="AK28" s="209">
        <f>IF(AK19&gt;0,$B$14*'Обобщенный расчет'!$F$12,0)</f>
        <v>600000</v>
      </c>
      <c r="AL28" s="209">
        <f>IF(AL19&gt;0,$B$14*'Обобщенный расчет'!$F$12,0)</f>
        <v>600000</v>
      </c>
      <c r="AM28" s="209">
        <f>IF(AM19&gt;0,$B$14*'Обобщенный расчет'!$F$12,0)</f>
        <v>600000</v>
      </c>
      <c r="AN28" s="209">
        <f>IF(AN19&gt;0,$B$14*'Обобщенный расчет'!$F$12,0)</f>
        <v>600000</v>
      </c>
      <c r="AO28" s="209">
        <f>IF(AO19&gt;0,$B$14*'Обобщенный расчет'!$F$12,0)</f>
        <v>600000</v>
      </c>
      <c r="AP28" s="209">
        <f>IF(AP19&gt;0,$B$14*'Обобщенный расчет'!$F$12,0)</f>
        <v>600000</v>
      </c>
      <c r="AQ28" s="73"/>
      <c r="AR28" s="73"/>
      <c r="AS28" s="154"/>
      <c r="AT28" s="34"/>
    </row>
    <row r="29" spans="1:46" s="35" customFormat="1" ht="11" hidden="1" x14ac:dyDescent="0.15">
      <c r="A29" s="82"/>
      <c r="B29" s="90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73"/>
      <c r="AR29" s="73"/>
      <c r="AS29" s="154"/>
      <c r="AT29" s="34"/>
    </row>
    <row r="30" spans="1:46" s="213" customFormat="1" ht="11" hidden="1" x14ac:dyDescent="0.15">
      <c r="A30" s="216" t="s">
        <v>125</v>
      </c>
      <c r="B30" s="220">
        <f>B14*(1-'Обобщенный расчет'!$E$12-'Обобщенный расчет'!$F$12-'Обобщенный расчет'!$D$15)</f>
        <v>599999.99999999988</v>
      </c>
      <c r="C30" s="209">
        <f>IF(C12&gt;$B$16,$B$14*(1-'Обобщенный расчет'!$E$12-'Обобщенный расчет'!$F$12-'Обобщенный расчет'!$D$15),0)</f>
        <v>0</v>
      </c>
      <c r="D30" s="209">
        <f>IF(D12&gt;$B$16,$B$14*(1-'Обобщенный расчет'!$E$12-'Обобщенный расчет'!$F$12-'Обобщенный расчет'!$D$15),0)</f>
        <v>599999.99999999988</v>
      </c>
      <c r="E30" s="209">
        <f>IF(E12&gt;$B$16,$B$14*(1-'Обобщенный расчет'!$E$12-'Обобщенный расчет'!$F$12-'Обобщенный расчет'!$D$15),0)</f>
        <v>599999.99999999988</v>
      </c>
      <c r="F30" s="209">
        <f>IF(F12&gt;$B$16,$B$14*(1-'Обобщенный расчет'!$E$12-'Обобщенный расчет'!$F$12-'Обобщенный расчет'!$D$15),0)</f>
        <v>599999.99999999988</v>
      </c>
      <c r="G30" s="209">
        <f>IF(G12&gt;$B$16,$B$14*(1-'Обобщенный расчет'!$E$12-'Обобщенный расчет'!$F$12-'Обобщенный расчет'!$D$15),0)</f>
        <v>599999.99999999988</v>
      </c>
      <c r="H30" s="209">
        <f>IF(H12&gt;$B$16,$B$14*(1-'Обобщенный расчет'!$E$12-'Обобщенный расчет'!$F$12-'Обобщенный расчет'!$D$15),0)</f>
        <v>599999.99999999988</v>
      </c>
      <c r="I30" s="209">
        <f>IF(I12&gt;$B$16,$B$14*(1-'Обобщенный расчет'!$E$12-'Обобщенный расчет'!$F$12-'Обобщенный расчет'!$D$15),0)</f>
        <v>599999.99999999988</v>
      </c>
      <c r="J30" s="209">
        <f>IF(J12&gt;$B$16,$B$14*(1-'Обобщенный расчет'!$E$12-'Обобщенный расчет'!$F$12-'Обобщенный расчет'!$D$15),0)</f>
        <v>599999.99999999988</v>
      </c>
      <c r="K30" s="209">
        <f>IF(K12&gt;$B$16,$B$14*(1-'Обобщенный расчет'!$E$12-'Обобщенный расчет'!$F$12-'Обобщенный расчет'!$D$15),0)</f>
        <v>599999.99999999988</v>
      </c>
      <c r="L30" s="209">
        <f>IF(L12&gt;$B$16,$B$14*(1-'Обобщенный расчет'!$E$12-'Обобщенный расчет'!$F$12-'Обобщенный расчет'!$D$15),0)</f>
        <v>599999.99999999988</v>
      </c>
      <c r="M30" s="209">
        <f>IF(M12&gt;$B$16,$B$14*(1-'Обобщенный расчет'!$E$12-'Обобщенный расчет'!$F$12-'Обобщенный расчет'!$D$15),0)</f>
        <v>599999.99999999988</v>
      </c>
      <c r="N30" s="209">
        <f>IF(N12&gt;$B$16,$B$14*(1-'Обобщенный расчет'!$E$12-'Обобщенный расчет'!$F$12-'Обобщенный расчет'!$D$15),0)</f>
        <v>599999.99999999988</v>
      </c>
      <c r="Q30" s="209">
        <f>IF(Q12&gt;$B$16,$B$14*(1-'Обобщенный расчет'!$E$12-'Обобщенный расчет'!$F$12-'Обобщенный расчет'!$D$15),0)</f>
        <v>599999.99999999988</v>
      </c>
      <c r="R30" s="209">
        <f>IF(R12&gt;$B$16,$B$14*(1-'Обобщенный расчет'!$E$12-'Обобщенный расчет'!$F$12-'Обобщенный расчет'!$D$15),0)</f>
        <v>599999.99999999988</v>
      </c>
      <c r="S30" s="209">
        <f>IF(S12&gt;$B$16,$B$14*(1-'Обобщенный расчет'!$E$12-'Обобщенный расчет'!$F$12-'Обобщенный расчет'!$D$15),0)</f>
        <v>599999.99999999988</v>
      </c>
      <c r="T30" s="209">
        <f>IF(T12&gt;$B$16,$B$14*(1-'Обобщенный расчет'!$E$12-'Обобщенный расчет'!$F$12-'Обобщенный расчет'!$D$15),0)</f>
        <v>599999.99999999988</v>
      </c>
      <c r="U30" s="209">
        <f>IF(U12&gt;$B$16,$B$14*(1-'Обобщенный расчет'!$E$12-'Обобщенный расчет'!$F$12-'Обобщенный расчет'!$D$15),0)</f>
        <v>599999.99999999988</v>
      </c>
      <c r="V30" s="209">
        <f>IF(V12&gt;$B$16,$B$14*(1-'Обобщенный расчет'!$E$12-'Обобщенный расчет'!$F$12-'Обобщенный расчет'!$D$15),0)</f>
        <v>599999.99999999988</v>
      </c>
      <c r="W30" s="209">
        <f>IF(W12&gt;$B$16,$B$14*(1-'Обобщенный расчет'!$E$12-'Обобщенный расчет'!$F$12-'Обобщенный расчет'!$D$15),0)</f>
        <v>599999.99999999988</v>
      </c>
      <c r="X30" s="209">
        <f>IF(X12&gt;$B$16,$B$14*(1-'Обобщенный расчет'!$E$12-'Обобщенный расчет'!$F$12-'Обобщенный расчет'!$D$15),0)</f>
        <v>599999.99999999988</v>
      </c>
      <c r="Y30" s="209">
        <f>IF(Y12&gt;$B$16,$B$14*(1-'Обобщенный расчет'!$E$12-'Обобщенный расчет'!$F$12-'Обобщенный расчет'!$D$15),0)</f>
        <v>599999.99999999988</v>
      </c>
      <c r="Z30" s="209">
        <f>IF(Z12&gt;$B$16,$B$14*(1-'Обобщенный расчет'!$E$12-'Обобщенный расчет'!$F$12-'Обобщенный расчет'!$D$15),0)</f>
        <v>599999.99999999988</v>
      </c>
      <c r="AA30" s="209">
        <f>IF(AA12&gt;$B$16,$B$14*(1-'Обобщенный расчет'!$E$12-'Обобщенный расчет'!$F$12-'Обобщенный расчет'!$D$15),0)</f>
        <v>599999.99999999988</v>
      </c>
      <c r="AB30" s="209">
        <f>IF(AB12&gt;$B$16,$B$14*(1-'Обобщенный расчет'!$E$12-'Обобщенный расчет'!$F$12-'Обобщенный расчет'!$D$15),0)</f>
        <v>599999.99999999988</v>
      </c>
      <c r="AE30" s="209">
        <f>IF(AE12&gt;$B$16,$B$14*(1-'Обобщенный расчет'!$E$12-'Обобщенный расчет'!$F$12-'Обобщенный расчет'!$D$15),0)</f>
        <v>599999.99999999988</v>
      </c>
      <c r="AF30" s="209">
        <f>IF(AF12&gt;$B$16,$B$14*(1-'Обобщенный расчет'!$E$12-'Обобщенный расчет'!$F$12-'Обобщенный расчет'!$D$15),0)</f>
        <v>599999.99999999988</v>
      </c>
      <c r="AG30" s="209">
        <f>IF(AG12&gt;$B$16,$B$14*(1-'Обобщенный расчет'!$E$12-'Обобщенный расчет'!$F$12-'Обобщенный расчет'!$D$15),0)</f>
        <v>599999.99999999988</v>
      </c>
      <c r="AH30" s="209">
        <f>IF(AH12&gt;$B$16,$B$14*(1-'Обобщенный расчет'!$E$12-'Обобщенный расчет'!$F$12-'Обобщенный расчет'!$D$15),0)</f>
        <v>599999.99999999988</v>
      </c>
      <c r="AI30" s="209">
        <f>IF(AI12&gt;$B$16,$B$14*(1-'Обобщенный расчет'!$E$12-'Обобщенный расчет'!$F$12-'Обобщенный расчет'!$D$15),0)</f>
        <v>599999.99999999988</v>
      </c>
      <c r="AJ30" s="209">
        <f>IF(AJ12&gt;$B$16,$B$14*(1-'Обобщенный расчет'!$E$12-'Обобщенный расчет'!$F$12-'Обобщенный расчет'!$D$15),0)</f>
        <v>599999.99999999988</v>
      </c>
      <c r="AK30" s="209">
        <f>IF(AK12&gt;$B$16,$B$14*(1-'Обобщенный расчет'!$E$12-'Обобщенный расчет'!$F$12-'Обобщенный расчет'!$D$15),0)</f>
        <v>599999.99999999988</v>
      </c>
      <c r="AL30" s="209">
        <f>IF(AL12&gt;$B$16,$B$14*(1-'Обобщенный расчет'!$E$12-'Обобщенный расчет'!$F$12-'Обобщенный расчет'!$D$15),0)</f>
        <v>599999.99999999988</v>
      </c>
      <c r="AM30" s="209">
        <f>IF(AM12&gt;$B$16,$B$14*(1-'Обобщенный расчет'!$E$12-'Обобщенный расчет'!$F$12-'Обобщенный расчет'!$D$15),0)</f>
        <v>599999.99999999988</v>
      </c>
      <c r="AN30" s="209">
        <f>IF(AN12&gt;$B$16,$B$14*(1-'Обобщенный расчет'!$E$12-'Обобщенный расчет'!$F$12-'Обобщенный расчет'!$D$15),0)</f>
        <v>599999.99999999988</v>
      </c>
      <c r="AO30" s="209">
        <f>IF(AO12&gt;$B$16,$B$14*(1-'Обобщенный расчет'!$E$12-'Обобщенный расчет'!$F$12-'Обобщенный расчет'!$D$15),0)</f>
        <v>599999.99999999988</v>
      </c>
      <c r="AP30" s="209">
        <f>IF(AP12&gt;$B$16,$B$14*(1-'Обобщенный расчет'!$E$12-'Обобщенный расчет'!$F$12-'Обобщенный расчет'!$D$15),0)</f>
        <v>599999.99999999988</v>
      </c>
      <c r="AQ30" s="210"/>
      <c r="AR30" s="210"/>
      <c r="AS30" s="211"/>
      <c r="AT30" s="212"/>
    </row>
    <row r="31" spans="1:46" s="213" customFormat="1" ht="11" hidden="1" x14ac:dyDescent="0.15">
      <c r="A31" s="216"/>
      <c r="B31" s="220"/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10"/>
      <c r="AR31" s="210"/>
      <c r="AS31" s="211"/>
      <c r="AT31" s="212"/>
    </row>
    <row r="32" spans="1:46" s="213" customFormat="1" ht="11" hidden="1" x14ac:dyDescent="0.15">
      <c r="A32" s="216"/>
      <c r="B32" s="220"/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  <c r="AA32" s="209"/>
      <c r="AB32" s="209"/>
      <c r="AE32" s="209"/>
      <c r="AF32" s="209"/>
      <c r="AG32" s="209"/>
      <c r="AH32" s="209"/>
      <c r="AI32" s="209"/>
      <c r="AJ32" s="209"/>
      <c r="AK32" s="209"/>
      <c r="AL32" s="209"/>
      <c r="AM32" s="209"/>
      <c r="AN32" s="209"/>
      <c r="AO32" s="209"/>
      <c r="AP32" s="209"/>
      <c r="AQ32" s="210"/>
      <c r="AR32" s="210"/>
      <c r="AS32" s="211"/>
      <c r="AT32" s="212"/>
    </row>
    <row r="33" spans="1:46" s="213" customFormat="1" ht="12" hidden="1" thickTop="1" x14ac:dyDescent="0.15">
      <c r="A33" s="216"/>
      <c r="B33" s="220"/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10"/>
      <c r="AR33" s="210"/>
      <c r="AS33" s="211"/>
      <c r="AT33" s="212"/>
    </row>
    <row r="34" spans="1:46" s="24" customFormat="1" ht="12" thickTop="1" x14ac:dyDescent="0.15">
      <c r="A34" s="81" t="s">
        <v>143</v>
      </c>
      <c r="B34" s="28" t="s">
        <v>74</v>
      </c>
      <c r="C34" s="41">
        <f>C20</f>
        <v>750000</v>
      </c>
      <c r="D34" s="41">
        <f t="shared" ref="D34:N34" si="180">D20</f>
        <v>1050000</v>
      </c>
      <c r="E34" s="41">
        <f t="shared" si="180"/>
        <v>1530000</v>
      </c>
      <c r="F34" s="41">
        <f t="shared" si="180"/>
        <v>1530000</v>
      </c>
      <c r="G34" s="41">
        <f t="shared" si="180"/>
        <v>1530000</v>
      </c>
      <c r="H34" s="41">
        <f t="shared" si="180"/>
        <v>1530000</v>
      </c>
      <c r="I34" s="41">
        <f t="shared" si="180"/>
        <v>1530000</v>
      </c>
      <c r="J34" s="41">
        <f t="shared" si="180"/>
        <v>1530000</v>
      </c>
      <c r="K34" s="41">
        <f t="shared" si="180"/>
        <v>1530000</v>
      </c>
      <c r="L34" s="41">
        <f t="shared" si="180"/>
        <v>1530000</v>
      </c>
      <c r="M34" s="41">
        <f t="shared" si="180"/>
        <v>1530000</v>
      </c>
      <c r="N34" s="41">
        <f t="shared" si="180"/>
        <v>1530000</v>
      </c>
      <c r="O34" s="144">
        <f>N34</f>
        <v>1530000</v>
      </c>
      <c r="P34" s="144"/>
      <c r="Q34" s="41">
        <f>Q20</f>
        <v>1530000</v>
      </c>
      <c r="R34" s="41">
        <f t="shared" ref="R34:AB34" si="181">R20</f>
        <v>1530000</v>
      </c>
      <c r="S34" s="41">
        <f t="shared" si="181"/>
        <v>1530000</v>
      </c>
      <c r="T34" s="41">
        <f t="shared" si="181"/>
        <v>1530000</v>
      </c>
      <c r="U34" s="41">
        <f t="shared" si="181"/>
        <v>1530000</v>
      </c>
      <c r="V34" s="41">
        <f t="shared" si="181"/>
        <v>1530000</v>
      </c>
      <c r="W34" s="41">
        <f t="shared" si="181"/>
        <v>1530000</v>
      </c>
      <c r="X34" s="41">
        <f t="shared" si="181"/>
        <v>1530000</v>
      </c>
      <c r="Y34" s="41">
        <f t="shared" si="181"/>
        <v>1530000</v>
      </c>
      <c r="Z34" s="41">
        <f t="shared" si="181"/>
        <v>1530000</v>
      </c>
      <c r="AA34" s="41">
        <f t="shared" si="181"/>
        <v>1530000</v>
      </c>
      <c r="AB34" s="41">
        <f t="shared" si="181"/>
        <v>1530000</v>
      </c>
      <c r="AC34" s="144">
        <f>AB34</f>
        <v>1530000</v>
      </c>
      <c r="AD34" s="144"/>
      <c r="AE34" s="41">
        <f>AE20</f>
        <v>1530000</v>
      </c>
      <c r="AF34" s="41">
        <f t="shared" ref="AF34:AP34" si="182">AF20</f>
        <v>1530000</v>
      </c>
      <c r="AG34" s="41">
        <f t="shared" si="182"/>
        <v>1530000</v>
      </c>
      <c r="AH34" s="41">
        <f t="shared" si="182"/>
        <v>1530000</v>
      </c>
      <c r="AI34" s="41">
        <f t="shared" si="182"/>
        <v>1530000</v>
      </c>
      <c r="AJ34" s="41">
        <f t="shared" si="182"/>
        <v>1530000</v>
      </c>
      <c r="AK34" s="41">
        <f t="shared" si="182"/>
        <v>1530000</v>
      </c>
      <c r="AL34" s="41">
        <f t="shared" si="182"/>
        <v>1530000</v>
      </c>
      <c r="AM34" s="41">
        <f t="shared" si="182"/>
        <v>1530000</v>
      </c>
      <c r="AN34" s="41">
        <f t="shared" si="182"/>
        <v>1530000</v>
      </c>
      <c r="AO34" s="41">
        <f t="shared" si="182"/>
        <v>1530000</v>
      </c>
      <c r="AP34" s="41">
        <f t="shared" si="182"/>
        <v>1530000</v>
      </c>
      <c r="AQ34" s="144">
        <f>AP34</f>
        <v>1530000</v>
      </c>
      <c r="AR34" s="144"/>
      <c r="AS34" s="154">
        <f>AQ34</f>
        <v>1530000</v>
      </c>
      <c r="AT34" s="30"/>
    </row>
    <row r="35" spans="1:46" s="35" customFormat="1" ht="11" x14ac:dyDescent="0.15">
      <c r="A35" s="82" t="s">
        <v>121</v>
      </c>
      <c r="B35" s="32" t="s">
        <v>74</v>
      </c>
      <c r="C35" s="44">
        <f t="shared" ref="C35:N35" si="183">C28</f>
        <v>0</v>
      </c>
      <c r="D35" s="44">
        <f t="shared" si="183"/>
        <v>600000</v>
      </c>
      <c r="E35" s="44">
        <f t="shared" si="183"/>
        <v>600000</v>
      </c>
      <c r="F35" s="44">
        <f t="shared" si="183"/>
        <v>600000</v>
      </c>
      <c r="G35" s="44">
        <f t="shared" si="183"/>
        <v>600000</v>
      </c>
      <c r="H35" s="44">
        <f t="shared" si="183"/>
        <v>600000</v>
      </c>
      <c r="I35" s="44">
        <f t="shared" si="183"/>
        <v>600000</v>
      </c>
      <c r="J35" s="44">
        <f t="shared" si="183"/>
        <v>600000</v>
      </c>
      <c r="K35" s="44">
        <f t="shared" si="183"/>
        <v>600000</v>
      </c>
      <c r="L35" s="44">
        <f t="shared" si="183"/>
        <v>600000</v>
      </c>
      <c r="M35" s="44">
        <f t="shared" si="183"/>
        <v>600000</v>
      </c>
      <c r="N35" s="44">
        <f t="shared" si="183"/>
        <v>600000</v>
      </c>
      <c r="O35" s="73">
        <f t="shared" ref="O35:O37" si="184">N35</f>
        <v>600000</v>
      </c>
      <c r="P35" s="73"/>
      <c r="Q35" s="44">
        <f t="shared" ref="Q35:AB35" si="185">Q28</f>
        <v>600000</v>
      </c>
      <c r="R35" s="44">
        <f t="shared" si="185"/>
        <v>600000</v>
      </c>
      <c r="S35" s="44">
        <f t="shared" si="185"/>
        <v>600000</v>
      </c>
      <c r="T35" s="44">
        <f t="shared" si="185"/>
        <v>600000</v>
      </c>
      <c r="U35" s="44">
        <f t="shared" si="185"/>
        <v>600000</v>
      </c>
      <c r="V35" s="44">
        <f t="shared" si="185"/>
        <v>600000</v>
      </c>
      <c r="W35" s="44">
        <f t="shared" si="185"/>
        <v>600000</v>
      </c>
      <c r="X35" s="44">
        <f t="shared" si="185"/>
        <v>600000</v>
      </c>
      <c r="Y35" s="44">
        <f t="shared" si="185"/>
        <v>600000</v>
      </c>
      <c r="Z35" s="44">
        <f t="shared" si="185"/>
        <v>600000</v>
      </c>
      <c r="AA35" s="44">
        <f t="shared" si="185"/>
        <v>600000</v>
      </c>
      <c r="AB35" s="44">
        <f t="shared" si="185"/>
        <v>600000</v>
      </c>
      <c r="AC35" s="73">
        <f t="shared" ref="AC35:AC37" si="186">AB35</f>
        <v>600000</v>
      </c>
      <c r="AD35" s="73"/>
      <c r="AE35" s="44">
        <f t="shared" ref="AE35:AP35" si="187">AE28</f>
        <v>600000</v>
      </c>
      <c r="AF35" s="44">
        <f t="shared" si="187"/>
        <v>600000</v>
      </c>
      <c r="AG35" s="44">
        <f t="shared" si="187"/>
        <v>600000</v>
      </c>
      <c r="AH35" s="44">
        <f t="shared" si="187"/>
        <v>600000</v>
      </c>
      <c r="AI35" s="44">
        <f t="shared" si="187"/>
        <v>600000</v>
      </c>
      <c r="AJ35" s="44">
        <f t="shared" si="187"/>
        <v>600000</v>
      </c>
      <c r="AK35" s="44">
        <f t="shared" si="187"/>
        <v>600000</v>
      </c>
      <c r="AL35" s="44">
        <f t="shared" si="187"/>
        <v>600000</v>
      </c>
      <c r="AM35" s="44">
        <f t="shared" si="187"/>
        <v>600000</v>
      </c>
      <c r="AN35" s="44">
        <f t="shared" si="187"/>
        <v>600000</v>
      </c>
      <c r="AO35" s="44">
        <f t="shared" si="187"/>
        <v>600000</v>
      </c>
      <c r="AP35" s="44">
        <f t="shared" si="187"/>
        <v>600000</v>
      </c>
      <c r="AQ35" s="73">
        <f t="shared" ref="AQ35:AQ37" si="188">AP35</f>
        <v>600000</v>
      </c>
      <c r="AR35" s="73"/>
      <c r="AS35" s="154">
        <f t="shared" ref="AS35:AS37" si="189">AQ35</f>
        <v>600000</v>
      </c>
      <c r="AT35" s="34"/>
    </row>
    <row r="36" spans="1:46" s="24" customFormat="1" ht="11" x14ac:dyDescent="0.15">
      <c r="A36" s="81" t="s">
        <v>125</v>
      </c>
      <c r="B36" s="28" t="s">
        <v>74</v>
      </c>
      <c r="C36" s="41">
        <f t="shared" ref="C36:N36" si="190">C30</f>
        <v>0</v>
      </c>
      <c r="D36" s="41">
        <f t="shared" si="190"/>
        <v>599999.99999999988</v>
      </c>
      <c r="E36" s="41">
        <f t="shared" si="190"/>
        <v>599999.99999999988</v>
      </c>
      <c r="F36" s="41">
        <f t="shared" si="190"/>
        <v>599999.99999999988</v>
      </c>
      <c r="G36" s="41">
        <f t="shared" si="190"/>
        <v>599999.99999999988</v>
      </c>
      <c r="H36" s="41">
        <f t="shared" si="190"/>
        <v>599999.99999999988</v>
      </c>
      <c r="I36" s="41">
        <f t="shared" si="190"/>
        <v>599999.99999999988</v>
      </c>
      <c r="J36" s="41">
        <f t="shared" si="190"/>
        <v>599999.99999999988</v>
      </c>
      <c r="K36" s="41">
        <f t="shared" si="190"/>
        <v>599999.99999999988</v>
      </c>
      <c r="L36" s="41">
        <f t="shared" si="190"/>
        <v>599999.99999999988</v>
      </c>
      <c r="M36" s="41">
        <f t="shared" si="190"/>
        <v>599999.99999999988</v>
      </c>
      <c r="N36" s="41">
        <f t="shared" si="190"/>
        <v>599999.99999999988</v>
      </c>
      <c r="O36" s="144">
        <f t="shared" si="184"/>
        <v>599999.99999999988</v>
      </c>
      <c r="P36" s="144"/>
      <c r="Q36" s="41">
        <f t="shared" ref="Q36:AB36" si="191">Q30</f>
        <v>599999.99999999988</v>
      </c>
      <c r="R36" s="41">
        <f t="shared" si="191"/>
        <v>599999.99999999988</v>
      </c>
      <c r="S36" s="41">
        <f t="shared" si="191"/>
        <v>599999.99999999988</v>
      </c>
      <c r="T36" s="41">
        <f t="shared" si="191"/>
        <v>599999.99999999988</v>
      </c>
      <c r="U36" s="41">
        <f t="shared" si="191"/>
        <v>599999.99999999988</v>
      </c>
      <c r="V36" s="41">
        <f t="shared" si="191"/>
        <v>599999.99999999988</v>
      </c>
      <c r="W36" s="41">
        <f t="shared" si="191"/>
        <v>599999.99999999988</v>
      </c>
      <c r="X36" s="41">
        <f t="shared" si="191"/>
        <v>599999.99999999988</v>
      </c>
      <c r="Y36" s="41">
        <f t="shared" si="191"/>
        <v>599999.99999999988</v>
      </c>
      <c r="Z36" s="41">
        <f t="shared" si="191"/>
        <v>599999.99999999988</v>
      </c>
      <c r="AA36" s="41">
        <f t="shared" si="191"/>
        <v>599999.99999999988</v>
      </c>
      <c r="AB36" s="41">
        <f t="shared" si="191"/>
        <v>599999.99999999988</v>
      </c>
      <c r="AC36" s="144">
        <f t="shared" si="186"/>
        <v>599999.99999999988</v>
      </c>
      <c r="AD36" s="144"/>
      <c r="AE36" s="41">
        <f t="shared" ref="AE36:AP36" si="192">AE30</f>
        <v>599999.99999999988</v>
      </c>
      <c r="AF36" s="41">
        <f t="shared" si="192"/>
        <v>599999.99999999988</v>
      </c>
      <c r="AG36" s="41">
        <f t="shared" si="192"/>
        <v>599999.99999999988</v>
      </c>
      <c r="AH36" s="41">
        <f t="shared" si="192"/>
        <v>599999.99999999988</v>
      </c>
      <c r="AI36" s="41">
        <f t="shared" si="192"/>
        <v>599999.99999999988</v>
      </c>
      <c r="AJ36" s="41">
        <f t="shared" si="192"/>
        <v>599999.99999999988</v>
      </c>
      <c r="AK36" s="41">
        <f t="shared" si="192"/>
        <v>599999.99999999988</v>
      </c>
      <c r="AL36" s="41">
        <f t="shared" si="192"/>
        <v>599999.99999999988</v>
      </c>
      <c r="AM36" s="41">
        <f t="shared" si="192"/>
        <v>599999.99999999988</v>
      </c>
      <c r="AN36" s="41">
        <f t="shared" si="192"/>
        <v>599999.99999999988</v>
      </c>
      <c r="AO36" s="41">
        <f t="shared" si="192"/>
        <v>599999.99999999988</v>
      </c>
      <c r="AP36" s="41">
        <f t="shared" si="192"/>
        <v>599999.99999999988</v>
      </c>
      <c r="AQ36" s="144">
        <f t="shared" si="188"/>
        <v>599999.99999999988</v>
      </c>
      <c r="AR36" s="144"/>
      <c r="AS36" s="154">
        <f t="shared" si="189"/>
        <v>599999.99999999988</v>
      </c>
      <c r="AT36" s="30"/>
    </row>
    <row r="37" spans="1:46" s="35" customFormat="1" ht="11" x14ac:dyDescent="0.15">
      <c r="A37" s="228" t="s">
        <v>126</v>
      </c>
      <c r="B37" s="37" t="s">
        <v>74</v>
      </c>
      <c r="C37" s="217">
        <f t="shared" ref="C37:N37" si="193">SUM(C34:C36)</f>
        <v>750000</v>
      </c>
      <c r="D37" s="217">
        <f t="shared" si="193"/>
        <v>2250000</v>
      </c>
      <c r="E37" s="217">
        <f t="shared" si="193"/>
        <v>2730000</v>
      </c>
      <c r="F37" s="217">
        <f t="shared" si="193"/>
        <v>2730000</v>
      </c>
      <c r="G37" s="217">
        <f t="shared" si="193"/>
        <v>2730000</v>
      </c>
      <c r="H37" s="217">
        <f t="shared" si="193"/>
        <v>2730000</v>
      </c>
      <c r="I37" s="217">
        <f t="shared" si="193"/>
        <v>2730000</v>
      </c>
      <c r="J37" s="217">
        <f t="shared" si="193"/>
        <v>2730000</v>
      </c>
      <c r="K37" s="217">
        <f t="shared" si="193"/>
        <v>2730000</v>
      </c>
      <c r="L37" s="217">
        <f t="shared" si="193"/>
        <v>2730000</v>
      </c>
      <c r="M37" s="217">
        <f t="shared" si="193"/>
        <v>2730000</v>
      </c>
      <c r="N37" s="217">
        <f t="shared" si="193"/>
        <v>2730000</v>
      </c>
      <c r="O37" s="218">
        <f t="shared" si="184"/>
        <v>2730000</v>
      </c>
      <c r="P37" s="218"/>
      <c r="Q37" s="217">
        <f t="shared" ref="Q37:R37" si="194">SUM(Q34:Q36)</f>
        <v>2730000</v>
      </c>
      <c r="R37" s="217">
        <f t="shared" si="194"/>
        <v>2730000</v>
      </c>
      <c r="S37" s="217">
        <f t="shared" ref="S37" si="195">SUM(S34:S36)</f>
        <v>2730000</v>
      </c>
      <c r="T37" s="217">
        <f t="shared" ref="T37" si="196">SUM(T34:T36)</f>
        <v>2730000</v>
      </c>
      <c r="U37" s="217">
        <f t="shared" ref="U37" si="197">SUM(U34:U36)</f>
        <v>2730000</v>
      </c>
      <c r="V37" s="217">
        <f t="shared" ref="V37" si="198">SUM(V34:V36)</f>
        <v>2730000</v>
      </c>
      <c r="W37" s="217">
        <f t="shared" ref="W37" si="199">SUM(W34:W36)</f>
        <v>2730000</v>
      </c>
      <c r="X37" s="217">
        <f t="shared" ref="X37" si="200">SUM(X34:X36)</f>
        <v>2730000</v>
      </c>
      <c r="Y37" s="217">
        <f t="shared" ref="Y37" si="201">SUM(Y34:Y36)</f>
        <v>2730000</v>
      </c>
      <c r="Z37" s="217">
        <f t="shared" ref="Z37" si="202">SUM(Z34:Z36)</f>
        <v>2730000</v>
      </c>
      <c r="AA37" s="217">
        <f t="shared" ref="AA37" si="203">SUM(AA34:AA36)</f>
        <v>2730000</v>
      </c>
      <c r="AB37" s="217">
        <f t="shared" ref="AB37" si="204">SUM(AB34:AB36)</f>
        <v>2730000</v>
      </c>
      <c r="AC37" s="218">
        <f t="shared" si="186"/>
        <v>2730000</v>
      </c>
      <c r="AD37" s="218"/>
      <c r="AE37" s="217">
        <f t="shared" ref="AE37" si="205">SUM(AE34:AE36)</f>
        <v>2730000</v>
      </c>
      <c r="AF37" s="217">
        <f t="shared" ref="AF37" si="206">SUM(AF34:AF36)</f>
        <v>2730000</v>
      </c>
      <c r="AG37" s="217">
        <f t="shared" ref="AG37" si="207">SUM(AG34:AG36)</f>
        <v>2730000</v>
      </c>
      <c r="AH37" s="217">
        <f t="shared" ref="AH37" si="208">SUM(AH34:AH36)</f>
        <v>2730000</v>
      </c>
      <c r="AI37" s="217">
        <f t="shared" ref="AI37" si="209">SUM(AI34:AI36)</f>
        <v>2730000</v>
      </c>
      <c r="AJ37" s="217">
        <f t="shared" ref="AJ37" si="210">SUM(AJ34:AJ36)</f>
        <v>2730000</v>
      </c>
      <c r="AK37" s="217">
        <f t="shared" ref="AK37" si="211">SUM(AK34:AK36)</f>
        <v>2730000</v>
      </c>
      <c r="AL37" s="217">
        <f t="shared" ref="AL37" si="212">SUM(AL34:AL36)</f>
        <v>2730000</v>
      </c>
      <c r="AM37" s="217">
        <f t="shared" ref="AM37" si="213">SUM(AM34:AM36)</f>
        <v>2730000</v>
      </c>
      <c r="AN37" s="217">
        <f t="shared" ref="AN37" si="214">SUM(AN34:AN36)</f>
        <v>2730000</v>
      </c>
      <c r="AO37" s="217">
        <f t="shared" ref="AO37" si="215">SUM(AO34:AO36)</f>
        <v>2730000</v>
      </c>
      <c r="AP37" s="217">
        <f t="shared" ref="AP37" si="216">SUM(AP34:AP36)</f>
        <v>2730000</v>
      </c>
      <c r="AQ37" s="218">
        <f t="shared" si="188"/>
        <v>2730000</v>
      </c>
      <c r="AR37" s="218"/>
      <c r="AS37" s="219">
        <f t="shared" si="189"/>
        <v>2730000</v>
      </c>
      <c r="AT37" s="34"/>
    </row>
    <row r="38" spans="1:46" s="35" customFormat="1" ht="12" thickBot="1" x14ac:dyDescent="0.2">
      <c r="A38" s="82"/>
      <c r="B38" s="32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73"/>
      <c r="P38" s="73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73"/>
      <c r="AD38" s="73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73"/>
      <c r="AR38" s="73"/>
      <c r="AS38" s="154"/>
      <c r="AT38" s="34"/>
    </row>
    <row r="39" spans="1:46" s="24" customFormat="1" ht="24" thickTop="1" thickBot="1" x14ac:dyDescent="0.2">
      <c r="A39" s="22" t="s">
        <v>140</v>
      </c>
      <c r="B39" s="23"/>
      <c r="C39" s="124" t="str">
        <f t="shared" ref="C39:N39" si="217">C$6</f>
        <v>январь</v>
      </c>
      <c r="D39" s="124" t="str">
        <f t="shared" si="217"/>
        <v>февраль</v>
      </c>
      <c r="E39" s="124" t="str">
        <f t="shared" si="217"/>
        <v>март</v>
      </c>
      <c r="F39" s="124" t="str">
        <f t="shared" si="217"/>
        <v>апрель</v>
      </c>
      <c r="G39" s="124" t="str">
        <f t="shared" si="217"/>
        <v>май</v>
      </c>
      <c r="H39" s="124" t="str">
        <f t="shared" si="217"/>
        <v>июнь</v>
      </c>
      <c r="I39" s="124" t="str">
        <f t="shared" si="217"/>
        <v>июль</v>
      </c>
      <c r="J39" s="124" t="str">
        <f t="shared" si="217"/>
        <v>август</v>
      </c>
      <c r="K39" s="124" t="str">
        <f t="shared" si="217"/>
        <v>сентябрь</v>
      </c>
      <c r="L39" s="124" t="str">
        <f t="shared" si="217"/>
        <v>октябрь</v>
      </c>
      <c r="M39" s="124" t="str">
        <f t="shared" si="217"/>
        <v>ноябрь</v>
      </c>
      <c r="N39" s="124" t="str">
        <f t="shared" si="217"/>
        <v>декабрь</v>
      </c>
      <c r="O39" s="206" t="s">
        <v>49</v>
      </c>
      <c r="P39" s="206" t="s">
        <v>50</v>
      </c>
      <c r="Q39" s="124" t="str">
        <f t="shared" ref="Q39:AB39" si="218">Q$6</f>
        <v>январь</v>
      </c>
      <c r="R39" s="124" t="str">
        <f t="shared" si="218"/>
        <v>февраль</v>
      </c>
      <c r="S39" s="124" t="str">
        <f t="shared" si="218"/>
        <v>март</v>
      </c>
      <c r="T39" s="124" t="str">
        <f t="shared" si="218"/>
        <v>апрель</v>
      </c>
      <c r="U39" s="124" t="str">
        <f t="shared" si="218"/>
        <v>май</v>
      </c>
      <c r="V39" s="124" t="str">
        <f t="shared" si="218"/>
        <v>июнь</v>
      </c>
      <c r="W39" s="124" t="str">
        <f t="shared" si="218"/>
        <v>июль</v>
      </c>
      <c r="X39" s="124" t="str">
        <f t="shared" si="218"/>
        <v>август</v>
      </c>
      <c r="Y39" s="124" t="str">
        <f t="shared" si="218"/>
        <v>сентябрь</v>
      </c>
      <c r="Z39" s="124" t="str">
        <f t="shared" si="218"/>
        <v>октябрь</v>
      </c>
      <c r="AA39" s="124" t="str">
        <f t="shared" si="218"/>
        <v>ноябрь</v>
      </c>
      <c r="AB39" s="124" t="str">
        <f t="shared" si="218"/>
        <v>декабрь</v>
      </c>
      <c r="AC39" s="206" t="s">
        <v>53</v>
      </c>
      <c r="AD39" s="206" t="s">
        <v>52</v>
      </c>
      <c r="AE39" s="124" t="str">
        <f t="shared" ref="AE39:AP39" si="219">AE$6</f>
        <v>январь</v>
      </c>
      <c r="AF39" s="124" t="str">
        <f t="shared" si="219"/>
        <v>февраль</v>
      </c>
      <c r="AG39" s="124" t="str">
        <f t="shared" si="219"/>
        <v>март</v>
      </c>
      <c r="AH39" s="124" t="str">
        <f t="shared" si="219"/>
        <v>апрель</v>
      </c>
      <c r="AI39" s="124" t="str">
        <f t="shared" si="219"/>
        <v>май</v>
      </c>
      <c r="AJ39" s="124" t="str">
        <f t="shared" si="219"/>
        <v>июнь</v>
      </c>
      <c r="AK39" s="124" t="str">
        <f t="shared" si="219"/>
        <v>июль</v>
      </c>
      <c r="AL39" s="124" t="str">
        <f t="shared" si="219"/>
        <v>август</v>
      </c>
      <c r="AM39" s="124" t="str">
        <f t="shared" si="219"/>
        <v>сентябрь</v>
      </c>
      <c r="AN39" s="124" t="str">
        <f t="shared" si="219"/>
        <v>октябрь</v>
      </c>
      <c r="AO39" s="124" t="str">
        <f t="shared" si="219"/>
        <v>ноябрь</v>
      </c>
      <c r="AP39" s="124" t="str">
        <f t="shared" si="219"/>
        <v>декабрь</v>
      </c>
      <c r="AQ39" s="206" t="s">
        <v>54</v>
      </c>
      <c r="AR39" s="206" t="s">
        <v>55</v>
      </c>
      <c r="AS39" s="154"/>
    </row>
    <row r="40" spans="1:46" s="24" customFormat="1" ht="12" thickTop="1" x14ac:dyDescent="0.15">
      <c r="A40" s="223" t="s">
        <v>142</v>
      </c>
      <c r="B40" s="28" t="s">
        <v>74</v>
      </c>
      <c r="C40" s="41">
        <f>C34*'Обобщенный расчет'!$H$6*30</f>
        <v>74250</v>
      </c>
      <c r="D40" s="41">
        <f>D34*'Обобщенный расчет'!$H$6*30</f>
        <v>103950</v>
      </c>
      <c r="E40" s="41">
        <f>E34*'Обобщенный расчет'!$H$6*30</f>
        <v>151470</v>
      </c>
      <c r="F40" s="41">
        <f>F34*'Обобщенный расчет'!$H$6*30</f>
        <v>151470</v>
      </c>
      <c r="G40" s="41">
        <f>G34*'Обобщенный расчет'!$H$6*30</f>
        <v>151470</v>
      </c>
      <c r="H40" s="41">
        <f>H34*'Обобщенный расчет'!$H$6*30</f>
        <v>151470</v>
      </c>
      <c r="I40" s="41">
        <f>I34*'Обобщенный расчет'!$H$6*30</f>
        <v>151470</v>
      </c>
      <c r="J40" s="41">
        <f>J34*'Обобщенный расчет'!$H$6*30</f>
        <v>151470</v>
      </c>
      <c r="K40" s="41">
        <f>K34*'Обобщенный расчет'!$H$6*30</f>
        <v>151470</v>
      </c>
      <c r="L40" s="41">
        <f>L34*'Обобщенный расчет'!$H$6*30</f>
        <v>151470</v>
      </c>
      <c r="M40" s="41">
        <f>M34*'Обобщенный расчет'!$H$6*30</f>
        <v>151470</v>
      </c>
      <c r="N40" s="41">
        <f>N34*'Обобщенный расчет'!$H$6*30</f>
        <v>151470</v>
      </c>
      <c r="O40" s="144">
        <f>SUM(C40:N40)</f>
        <v>1692900</v>
      </c>
      <c r="P40" s="144">
        <f>O40/12</f>
        <v>141075</v>
      </c>
      <c r="Q40" s="41">
        <f>Q34*'Обобщенный расчет'!$H$6*30</f>
        <v>151470</v>
      </c>
      <c r="R40" s="41">
        <f>R34*'Обобщенный расчет'!$H$6*30</f>
        <v>151470</v>
      </c>
      <c r="S40" s="41">
        <f>S34*'Обобщенный расчет'!$H$6*30</f>
        <v>151470</v>
      </c>
      <c r="T40" s="41">
        <f>T34*'Обобщенный расчет'!$H$6*30</f>
        <v>151470</v>
      </c>
      <c r="U40" s="41">
        <f>U34*'Обобщенный расчет'!$H$6*30</f>
        <v>151470</v>
      </c>
      <c r="V40" s="41">
        <f>V34*'Обобщенный расчет'!$H$6*30</f>
        <v>151470</v>
      </c>
      <c r="W40" s="41">
        <f>W34*'Обобщенный расчет'!$H$6*30</f>
        <v>151470</v>
      </c>
      <c r="X40" s="41">
        <f>X34*'Обобщенный расчет'!$H$6*30</f>
        <v>151470</v>
      </c>
      <c r="Y40" s="41">
        <f>Y34*'Обобщенный расчет'!$H$6*30</f>
        <v>151470</v>
      </c>
      <c r="Z40" s="41">
        <f>Z34*'Обобщенный расчет'!$H$6*30</f>
        <v>151470</v>
      </c>
      <c r="AA40" s="41">
        <f>AA34*'Обобщенный расчет'!$H$6*30</f>
        <v>151470</v>
      </c>
      <c r="AB40" s="41">
        <f>AB34*'Обобщенный расчет'!$H$6*30</f>
        <v>151470</v>
      </c>
      <c r="AC40" s="144">
        <f>SUM(Q40:AB40)</f>
        <v>1817640</v>
      </c>
      <c r="AD40" s="144">
        <f>AC40/12</f>
        <v>151470</v>
      </c>
      <c r="AE40" s="41">
        <f>AE34*'Обобщенный расчет'!$H$6*30</f>
        <v>151470</v>
      </c>
      <c r="AF40" s="41">
        <f>AF34*'Обобщенный расчет'!$H$6*30</f>
        <v>151470</v>
      </c>
      <c r="AG40" s="41">
        <f>AG34*'Обобщенный расчет'!$H$6*30</f>
        <v>151470</v>
      </c>
      <c r="AH40" s="41">
        <f>AH34*'Обобщенный расчет'!$H$6*30</f>
        <v>151470</v>
      </c>
      <c r="AI40" s="41">
        <f>AI34*'Обобщенный расчет'!$H$6*30</f>
        <v>151470</v>
      </c>
      <c r="AJ40" s="41">
        <f>AJ34*'Обобщенный расчет'!$H$6*30</f>
        <v>151470</v>
      </c>
      <c r="AK40" s="41">
        <f>AK34*'Обобщенный расчет'!$H$6*30</f>
        <v>151470</v>
      </c>
      <c r="AL40" s="41">
        <f>AL34*'Обобщенный расчет'!$H$6*30</f>
        <v>151470</v>
      </c>
      <c r="AM40" s="41">
        <f>AM34*'Обобщенный расчет'!$H$6*30</f>
        <v>151470</v>
      </c>
      <c r="AN40" s="41">
        <f>AN34*'Обобщенный расчет'!$H$6*30</f>
        <v>151470</v>
      </c>
      <c r="AO40" s="41">
        <f>AO34*'Обобщенный расчет'!$H$6*30</f>
        <v>151470</v>
      </c>
      <c r="AP40" s="41">
        <f>AP34*'Обобщенный расчет'!$H$6*30</f>
        <v>151470</v>
      </c>
      <c r="AQ40" s="144">
        <f>SUM(AE40:AP40)</f>
        <v>1817640</v>
      </c>
      <c r="AR40" s="144">
        <f>AQ40/12</f>
        <v>151470</v>
      </c>
      <c r="AS40" s="154">
        <f>O40+AC40+AQ40</f>
        <v>5328180</v>
      </c>
      <c r="AT40" s="30"/>
    </row>
    <row r="41" spans="1:46" s="35" customFormat="1" ht="11" x14ac:dyDescent="0.15">
      <c r="A41" s="82" t="s">
        <v>144</v>
      </c>
      <c r="B41" s="32" t="s">
        <v>74</v>
      </c>
      <c r="C41" s="44">
        <f>C35*'Обобщенный расчет'!$D$12*'Обобщенный расчет'!$H$12</f>
        <v>0</v>
      </c>
      <c r="D41" s="44">
        <f>D35*'Обобщенный расчет'!$D$12*'Обобщенный расчет'!$H$12</f>
        <v>180000</v>
      </c>
      <c r="E41" s="44">
        <f>E35*'Обобщенный расчет'!$D$12*'Обобщенный расчет'!$H$12</f>
        <v>180000</v>
      </c>
      <c r="F41" s="44">
        <f>F35*'Обобщенный расчет'!$D$12*'Обобщенный расчет'!$H$12</f>
        <v>180000</v>
      </c>
      <c r="G41" s="44">
        <f>G35*'Обобщенный расчет'!$D$12*'Обобщенный расчет'!$H$12</f>
        <v>180000</v>
      </c>
      <c r="H41" s="44">
        <f>H35*'Обобщенный расчет'!$D$12*'Обобщенный расчет'!$H$12</f>
        <v>180000</v>
      </c>
      <c r="I41" s="44">
        <f>I35*'Обобщенный расчет'!$D$12*'Обобщенный расчет'!$H$12</f>
        <v>180000</v>
      </c>
      <c r="J41" s="44">
        <f>J35*'Обобщенный расчет'!$D$12*'Обобщенный расчет'!$H$12</f>
        <v>180000</v>
      </c>
      <c r="K41" s="44">
        <f>K35*'Обобщенный расчет'!$D$12*'Обобщенный расчет'!$H$12</f>
        <v>180000</v>
      </c>
      <c r="L41" s="44">
        <f>L35*'Обобщенный расчет'!$D$12*'Обобщенный расчет'!$H$12</f>
        <v>180000</v>
      </c>
      <c r="M41" s="44">
        <f>M35*'Обобщенный расчет'!$D$12*'Обобщенный расчет'!$H$12</f>
        <v>180000</v>
      </c>
      <c r="N41" s="44">
        <f>N35*'Обобщенный расчет'!$D$12*'Обобщенный расчет'!$H$12</f>
        <v>180000</v>
      </c>
      <c r="O41" s="73">
        <f>SUM(C41:N41)</f>
        <v>1980000</v>
      </c>
      <c r="P41" s="73">
        <f>O41/12</f>
        <v>165000</v>
      </c>
      <c r="Q41" s="44">
        <f>Q35*'Обобщенный расчет'!$D$12*'Обобщенный расчет'!$H$12</f>
        <v>180000</v>
      </c>
      <c r="R41" s="44">
        <f>R35*'Обобщенный расчет'!$D$12*'Обобщенный расчет'!$H$12</f>
        <v>180000</v>
      </c>
      <c r="S41" s="44">
        <f>S35*'Обобщенный расчет'!$D$12*'Обобщенный расчет'!$H$12</f>
        <v>180000</v>
      </c>
      <c r="T41" s="44">
        <f>T35*'Обобщенный расчет'!$D$12*'Обобщенный расчет'!$H$12</f>
        <v>180000</v>
      </c>
      <c r="U41" s="44">
        <f>U35*'Обобщенный расчет'!$D$12*'Обобщенный расчет'!$H$12</f>
        <v>180000</v>
      </c>
      <c r="V41" s="44">
        <f>V35*'Обобщенный расчет'!$D$12*'Обобщенный расчет'!$H$12</f>
        <v>180000</v>
      </c>
      <c r="W41" s="44">
        <f>W35*'Обобщенный расчет'!$D$12*'Обобщенный расчет'!$H$12</f>
        <v>180000</v>
      </c>
      <c r="X41" s="44">
        <f>X35*'Обобщенный расчет'!$D$12*'Обобщенный расчет'!$H$12</f>
        <v>180000</v>
      </c>
      <c r="Y41" s="44">
        <f>Y35*'Обобщенный расчет'!$D$12*'Обобщенный расчет'!$H$12</f>
        <v>180000</v>
      </c>
      <c r="Z41" s="44">
        <f>Z35*'Обобщенный расчет'!$D$12*'Обобщенный расчет'!$H$12</f>
        <v>180000</v>
      </c>
      <c r="AA41" s="44">
        <f>AA35*'Обобщенный расчет'!$D$12*'Обобщенный расчет'!$H$12</f>
        <v>180000</v>
      </c>
      <c r="AB41" s="44">
        <f>AB35*'Обобщенный расчет'!$D$12*'Обобщенный расчет'!$H$12</f>
        <v>180000</v>
      </c>
      <c r="AC41" s="73">
        <f>SUM(Q41:AB41)</f>
        <v>2160000</v>
      </c>
      <c r="AD41" s="73">
        <f>AC41/12</f>
        <v>180000</v>
      </c>
      <c r="AE41" s="44">
        <f>AE35*'Обобщенный расчет'!$D$12*'Обобщенный расчет'!$H$12</f>
        <v>180000</v>
      </c>
      <c r="AF41" s="44">
        <f>AF35*'Обобщенный расчет'!$D$12*'Обобщенный расчет'!$H$12</f>
        <v>180000</v>
      </c>
      <c r="AG41" s="44">
        <f>AG35*'Обобщенный расчет'!$D$12*'Обобщенный расчет'!$H$12</f>
        <v>180000</v>
      </c>
      <c r="AH41" s="44">
        <f>AH35*'Обобщенный расчет'!$D$12*'Обобщенный расчет'!$H$12</f>
        <v>180000</v>
      </c>
      <c r="AI41" s="44">
        <f>AI35*'Обобщенный расчет'!$D$12*'Обобщенный расчет'!$H$12</f>
        <v>180000</v>
      </c>
      <c r="AJ41" s="44">
        <f>AJ35*'Обобщенный расчет'!$D$12*'Обобщенный расчет'!$H$12</f>
        <v>180000</v>
      </c>
      <c r="AK41" s="44">
        <f>AK35*'Обобщенный расчет'!$D$12*'Обобщенный расчет'!$H$12</f>
        <v>180000</v>
      </c>
      <c r="AL41" s="44">
        <f>AL35*'Обобщенный расчет'!$D$12*'Обобщенный расчет'!$H$12</f>
        <v>180000</v>
      </c>
      <c r="AM41" s="44">
        <f>AM35*'Обобщенный расчет'!$D$12*'Обобщенный расчет'!$H$12</f>
        <v>180000</v>
      </c>
      <c r="AN41" s="44">
        <f>AN35*'Обобщенный расчет'!$D$12*'Обобщенный расчет'!$H$12</f>
        <v>180000</v>
      </c>
      <c r="AO41" s="44">
        <f>AO35*'Обобщенный расчет'!$D$12*'Обобщенный расчет'!$H$12</f>
        <v>180000</v>
      </c>
      <c r="AP41" s="44">
        <f>AP35*'Обобщенный расчет'!$D$12*'Обобщенный расчет'!$H$12</f>
        <v>180000</v>
      </c>
      <c r="AQ41" s="73">
        <f>SUM(AE41:AP41)</f>
        <v>2160000</v>
      </c>
      <c r="AR41" s="73">
        <f>AQ41/12</f>
        <v>180000</v>
      </c>
      <c r="AS41" s="154">
        <f>O41+AC41+AQ41</f>
        <v>6300000</v>
      </c>
      <c r="AT41" s="34"/>
    </row>
    <row r="42" spans="1:46" s="24" customFormat="1" ht="11" x14ac:dyDescent="0.15">
      <c r="A42" s="27" t="s">
        <v>119</v>
      </c>
      <c r="B42" s="28" t="s">
        <v>74</v>
      </c>
      <c r="C42" s="41">
        <f>C36*'Обобщенный расчет'!$D$19/'Обобщенный расчет'!$D$18+C36*'Обобщенный расчет'!$E$19/'Обобщенный расчет'!$E$18+C36*'Обобщенный расчет'!$F$19/'Обобщенный расчет'!$F$18+C36*'Обобщенный расчет'!$H$19/'Обобщенный расчет'!$H$18-C36</f>
        <v>0</v>
      </c>
      <c r="D42" s="41">
        <f>D36*'Обобщенный расчет'!$D$19/'Обобщенный расчет'!$D$18+D36*'Обобщенный расчет'!$E$19/'Обобщенный расчет'!$E$18+D36*'Обобщенный расчет'!$F$19/'Обобщенный расчет'!$F$18+D36*'Обобщенный расчет'!$H$19/'Обобщенный расчет'!$H$18-D36</f>
        <v>400000</v>
      </c>
      <c r="E42" s="41">
        <f>E36*'Обобщенный расчет'!$D$19/'Обобщенный расчет'!$D$18+E36*'Обобщенный расчет'!$E$19/'Обобщенный расчет'!$E$18+E36*'Обобщенный расчет'!$F$19/'Обобщенный расчет'!$F$18+E36*'Обобщенный расчет'!$H$19/'Обобщенный расчет'!$H$18-E36</f>
        <v>400000</v>
      </c>
      <c r="F42" s="41">
        <f>F36*'Обобщенный расчет'!$D$19/'Обобщенный расчет'!$D$18+F36*'Обобщенный расчет'!$E$19/'Обобщенный расчет'!$E$18+F36*'Обобщенный расчет'!$F$19/'Обобщенный расчет'!$F$18+F36*'Обобщенный расчет'!$H$19/'Обобщенный расчет'!$H$18-F36</f>
        <v>400000</v>
      </c>
      <c r="G42" s="41">
        <f>G36*'Обобщенный расчет'!$D$19/'Обобщенный расчет'!$D$18+G36*'Обобщенный расчет'!$E$19/'Обобщенный расчет'!$E$18+G36*'Обобщенный расчет'!$F$19/'Обобщенный расчет'!$F$18+G36*'Обобщенный расчет'!$H$19/'Обобщенный расчет'!$H$18-G36</f>
        <v>400000</v>
      </c>
      <c r="H42" s="41">
        <f>H36*'Обобщенный расчет'!$D$19/'Обобщенный расчет'!$D$18+H36*'Обобщенный расчет'!$E$19/'Обобщенный расчет'!$E$18+H36*'Обобщенный расчет'!$F$19/'Обобщенный расчет'!$F$18+H36*'Обобщенный расчет'!$H$19/'Обобщенный расчет'!$H$18-H36</f>
        <v>400000</v>
      </c>
      <c r="I42" s="41">
        <f>I36*'Обобщенный расчет'!$D$19/'Обобщенный расчет'!$D$18+I36*'Обобщенный расчет'!$E$19/'Обобщенный расчет'!$E$18+I36*'Обобщенный расчет'!$F$19/'Обобщенный расчет'!$F$18+I36*'Обобщенный расчет'!$H$19/'Обобщенный расчет'!$H$18-I36</f>
        <v>400000</v>
      </c>
      <c r="J42" s="41">
        <f>J36*'Обобщенный расчет'!$D$19/'Обобщенный расчет'!$D$18+J36*'Обобщенный расчет'!$E$19/'Обобщенный расчет'!$E$18+J36*'Обобщенный расчет'!$F$19/'Обобщенный расчет'!$F$18+J36*'Обобщенный расчет'!$H$19/'Обобщенный расчет'!$H$18-J36</f>
        <v>400000</v>
      </c>
      <c r="K42" s="41">
        <f>K36*'Обобщенный расчет'!$D$19/'Обобщенный расчет'!$D$18+K36*'Обобщенный расчет'!$E$19/'Обобщенный расчет'!$E$18+K36*'Обобщенный расчет'!$F$19/'Обобщенный расчет'!$F$18+K36*'Обобщенный расчет'!$H$19/'Обобщенный расчет'!$H$18-K36</f>
        <v>400000</v>
      </c>
      <c r="L42" s="41">
        <f>L36*'Обобщенный расчет'!$D$19/'Обобщенный расчет'!$D$18+L36*'Обобщенный расчет'!$E$19/'Обобщенный расчет'!$E$18+L36*'Обобщенный расчет'!$F$19/'Обобщенный расчет'!$F$18+L36*'Обобщенный расчет'!$H$19/'Обобщенный расчет'!$H$18-L36</f>
        <v>400000</v>
      </c>
      <c r="M42" s="41">
        <f>M36*'Обобщенный расчет'!$D$19/'Обобщенный расчет'!$D$18+M36*'Обобщенный расчет'!$E$19/'Обобщенный расчет'!$E$18+M36*'Обобщенный расчет'!$F$19/'Обобщенный расчет'!$F$18+M36*'Обобщенный расчет'!$H$19/'Обобщенный расчет'!$H$18-M36</f>
        <v>400000</v>
      </c>
      <c r="N42" s="41">
        <f>N36*'Обобщенный расчет'!$D$19/'Обобщенный расчет'!$D$18+N36*'Обобщенный расчет'!$E$19/'Обобщенный расчет'!$E$18+N36*'Обобщенный расчет'!$F$19/'Обобщенный расчет'!$F$18+N36*'Обобщенный расчет'!$H$19/'Обобщенный расчет'!$H$18-N36</f>
        <v>400000</v>
      </c>
      <c r="O42" s="144">
        <f>SUM(C42:N42)</f>
        <v>4400000</v>
      </c>
      <c r="P42" s="144">
        <f>O42/12</f>
        <v>366666.66666666669</v>
      </c>
      <c r="Q42" s="41">
        <f>Q36*'Обобщенный расчет'!$D$19/'Обобщенный расчет'!$D$18+Q36*'Обобщенный расчет'!$E$19/'Обобщенный расчет'!$E$18+Q36*'Обобщенный расчет'!$F$19/'Обобщенный расчет'!$F$18+Q36*'Обобщенный расчет'!$H$19/'Обобщенный расчет'!$H$18-Q36</f>
        <v>400000</v>
      </c>
      <c r="R42" s="41">
        <f>R36*'Обобщенный расчет'!$D$19/'Обобщенный расчет'!$D$18+R36*'Обобщенный расчет'!$E$19/'Обобщенный расчет'!$E$18+R36*'Обобщенный расчет'!$F$19/'Обобщенный расчет'!$F$18+R36*'Обобщенный расчет'!$H$19/'Обобщенный расчет'!$H$18-R36</f>
        <v>400000</v>
      </c>
      <c r="S42" s="41">
        <f>S36*'Обобщенный расчет'!$D$19/'Обобщенный расчет'!$D$18+S36*'Обобщенный расчет'!$E$19/'Обобщенный расчет'!$E$18+S36*'Обобщенный расчет'!$F$19/'Обобщенный расчет'!$F$18+S36*'Обобщенный расчет'!$H$19/'Обобщенный расчет'!$H$18-S36</f>
        <v>400000</v>
      </c>
      <c r="T42" s="41">
        <f>T36*'Обобщенный расчет'!$D$19/'Обобщенный расчет'!$D$18+T36*'Обобщенный расчет'!$E$19/'Обобщенный расчет'!$E$18+T36*'Обобщенный расчет'!$F$19/'Обобщенный расчет'!$F$18+T36*'Обобщенный расчет'!$H$19/'Обобщенный расчет'!$H$18-T36</f>
        <v>400000</v>
      </c>
      <c r="U42" s="41">
        <f>U36*'Обобщенный расчет'!$D$19/'Обобщенный расчет'!$D$18+U36*'Обобщенный расчет'!$E$19/'Обобщенный расчет'!$E$18+U36*'Обобщенный расчет'!$F$19/'Обобщенный расчет'!$F$18+U36*'Обобщенный расчет'!$H$19/'Обобщенный расчет'!$H$18-U36</f>
        <v>400000</v>
      </c>
      <c r="V42" s="41">
        <f>V36*'Обобщенный расчет'!$D$19/'Обобщенный расчет'!$D$18+V36*'Обобщенный расчет'!$E$19/'Обобщенный расчет'!$E$18+V36*'Обобщенный расчет'!$F$19/'Обобщенный расчет'!$F$18+V36*'Обобщенный расчет'!$H$19/'Обобщенный расчет'!$H$18-V36</f>
        <v>400000</v>
      </c>
      <c r="W42" s="41">
        <f>W36*'Обобщенный расчет'!$D$19/'Обобщенный расчет'!$D$18+W36*'Обобщенный расчет'!$E$19/'Обобщенный расчет'!$E$18+W36*'Обобщенный расчет'!$F$19/'Обобщенный расчет'!$F$18+W36*'Обобщенный расчет'!$H$19/'Обобщенный расчет'!$H$18-W36</f>
        <v>400000</v>
      </c>
      <c r="X42" s="41">
        <f>X36*'Обобщенный расчет'!$D$19/'Обобщенный расчет'!$D$18+X36*'Обобщенный расчет'!$E$19/'Обобщенный расчет'!$E$18+X36*'Обобщенный расчет'!$F$19/'Обобщенный расчет'!$F$18+X36*'Обобщенный расчет'!$H$19/'Обобщенный расчет'!$H$18-X36</f>
        <v>400000</v>
      </c>
      <c r="Y42" s="41">
        <f>Y36*'Обобщенный расчет'!$D$19/'Обобщенный расчет'!$D$18+Y36*'Обобщенный расчет'!$E$19/'Обобщенный расчет'!$E$18+Y36*'Обобщенный расчет'!$F$19/'Обобщенный расчет'!$F$18+Y36*'Обобщенный расчет'!$H$19/'Обобщенный расчет'!$H$18-Y36</f>
        <v>400000</v>
      </c>
      <c r="Z42" s="41">
        <f>Z36*'Обобщенный расчет'!$D$19/'Обобщенный расчет'!$D$18+Z36*'Обобщенный расчет'!$E$19/'Обобщенный расчет'!$E$18+Z36*'Обобщенный расчет'!$F$19/'Обобщенный расчет'!$F$18+Z36*'Обобщенный расчет'!$H$19/'Обобщенный расчет'!$H$18-Z36</f>
        <v>400000</v>
      </c>
      <c r="AA42" s="41">
        <f>AA36*'Обобщенный расчет'!$D$19/'Обобщенный расчет'!$D$18+AA36*'Обобщенный расчет'!$E$19/'Обобщенный расчет'!$E$18+AA36*'Обобщенный расчет'!$F$19/'Обобщенный расчет'!$F$18+AA36*'Обобщенный расчет'!$H$19/'Обобщенный расчет'!$H$18-AA36</f>
        <v>400000</v>
      </c>
      <c r="AB42" s="41">
        <f>AB36*'Обобщенный расчет'!$D$19/'Обобщенный расчет'!$D$18+AB36*'Обобщенный расчет'!$E$19/'Обобщенный расчет'!$E$18+AB36*'Обобщенный расчет'!$F$19/'Обобщенный расчет'!$F$18+AB36*'Обобщенный расчет'!$H$19/'Обобщенный расчет'!$H$18-AB36</f>
        <v>400000</v>
      </c>
      <c r="AC42" s="144">
        <f>SUM(Q42:AB42)</f>
        <v>4800000</v>
      </c>
      <c r="AD42" s="144">
        <f>AC42/12</f>
        <v>400000</v>
      </c>
      <c r="AE42" s="41">
        <f>AE36*'Обобщенный расчет'!$D$19/'Обобщенный расчет'!$D$18+AE36*'Обобщенный расчет'!$E$19/'Обобщенный расчет'!$E$18+AE36*'Обобщенный расчет'!$F$19/'Обобщенный расчет'!$F$18+AE36*'Обобщенный расчет'!$H$19/'Обобщенный расчет'!$H$18-AE36</f>
        <v>400000</v>
      </c>
      <c r="AF42" s="41">
        <f>AF36*'Обобщенный расчет'!$D$19/'Обобщенный расчет'!$D$18+AF36*'Обобщенный расчет'!$E$19/'Обобщенный расчет'!$E$18+AF36*'Обобщенный расчет'!$F$19/'Обобщенный расчет'!$F$18+AF36*'Обобщенный расчет'!$H$19/'Обобщенный расчет'!$H$18-AF36</f>
        <v>400000</v>
      </c>
      <c r="AG42" s="41">
        <f>AG36*'Обобщенный расчет'!$D$19/'Обобщенный расчет'!$D$18+AG36*'Обобщенный расчет'!$E$19/'Обобщенный расчет'!$E$18+AG36*'Обобщенный расчет'!$F$19/'Обобщенный расчет'!$F$18+AG36*'Обобщенный расчет'!$H$19/'Обобщенный расчет'!$H$18-AG36</f>
        <v>400000</v>
      </c>
      <c r="AH42" s="41">
        <f>AH36*'Обобщенный расчет'!$D$19/'Обобщенный расчет'!$D$18+AH36*'Обобщенный расчет'!$E$19/'Обобщенный расчет'!$E$18+AH36*'Обобщенный расчет'!$F$19/'Обобщенный расчет'!$F$18+AH36*'Обобщенный расчет'!$H$19/'Обобщенный расчет'!$H$18-AH36</f>
        <v>400000</v>
      </c>
      <c r="AI42" s="41">
        <f>AI36*'Обобщенный расчет'!$D$19/'Обобщенный расчет'!$D$18+AI36*'Обобщенный расчет'!$E$19/'Обобщенный расчет'!$E$18+AI36*'Обобщенный расчет'!$F$19/'Обобщенный расчет'!$F$18+AI36*'Обобщенный расчет'!$H$19/'Обобщенный расчет'!$H$18-AI36</f>
        <v>400000</v>
      </c>
      <c r="AJ42" s="41">
        <f>AJ36*'Обобщенный расчет'!$D$19/'Обобщенный расчет'!$D$18+AJ36*'Обобщенный расчет'!$E$19/'Обобщенный расчет'!$E$18+AJ36*'Обобщенный расчет'!$F$19/'Обобщенный расчет'!$F$18+AJ36*'Обобщенный расчет'!$H$19/'Обобщенный расчет'!$H$18-AJ36</f>
        <v>400000</v>
      </c>
      <c r="AK42" s="41">
        <f>AK36*'Обобщенный расчет'!$D$19/'Обобщенный расчет'!$D$18+AK36*'Обобщенный расчет'!$E$19/'Обобщенный расчет'!$E$18+AK36*'Обобщенный расчет'!$F$19/'Обобщенный расчет'!$F$18+AK36*'Обобщенный расчет'!$H$19/'Обобщенный расчет'!$H$18-AK36</f>
        <v>400000</v>
      </c>
      <c r="AL42" s="41">
        <f>AL36*'Обобщенный расчет'!$D$19/'Обобщенный расчет'!$D$18+AL36*'Обобщенный расчет'!$E$19/'Обобщенный расчет'!$E$18+AL36*'Обобщенный расчет'!$F$19/'Обобщенный расчет'!$F$18+AL36*'Обобщенный расчет'!$H$19/'Обобщенный расчет'!$H$18-AL36</f>
        <v>400000</v>
      </c>
      <c r="AM42" s="41">
        <f>AM36*'Обобщенный расчет'!$D$19/'Обобщенный расчет'!$D$18+AM36*'Обобщенный расчет'!$E$19/'Обобщенный расчет'!$E$18+AM36*'Обобщенный расчет'!$F$19/'Обобщенный расчет'!$F$18+AM36*'Обобщенный расчет'!$H$19/'Обобщенный расчет'!$H$18-AM36</f>
        <v>400000</v>
      </c>
      <c r="AN42" s="41">
        <f>AN36*'Обобщенный расчет'!$D$19/'Обобщенный расчет'!$D$18+AN36*'Обобщенный расчет'!$E$19/'Обобщенный расчет'!$E$18+AN36*'Обобщенный расчет'!$F$19/'Обобщенный расчет'!$F$18+AN36*'Обобщенный расчет'!$H$19/'Обобщенный расчет'!$H$18-AN36</f>
        <v>400000</v>
      </c>
      <c r="AO42" s="41">
        <f>AO36*'Обобщенный расчет'!$D$19/'Обобщенный расчет'!$D$18+AO36*'Обобщенный расчет'!$E$19/'Обобщенный расчет'!$E$18+AO36*'Обобщенный расчет'!$F$19/'Обобщенный расчет'!$F$18+AO36*'Обобщенный расчет'!$H$19/'Обобщенный расчет'!$H$18-AO36</f>
        <v>400000</v>
      </c>
      <c r="AP42" s="41">
        <f>AP36*'Обобщенный расчет'!$D$19/'Обобщенный расчет'!$D$18+AP36*'Обобщенный расчет'!$E$19/'Обобщенный расчет'!$E$18+AP36*'Обобщенный расчет'!$F$19/'Обобщенный расчет'!$F$18+AP36*'Обобщенный расчет'!$H$19/'Обобщенный расчет'!$H$18-AP36</f>
        <v>400000</v>
      </c>
      <c r="AQ42" s="144">
        <f>SUM(AE42:AP42)</f>
        <v>4800000</v>
      </c>
      <c r="AR42" s="144">
        <f>AQ42/12</f>
        <v>400000</v>
      </c>
      <c r="AS42" s="154">
        <f>O42+AC42+AQ42</f>
        <v>14000000</v>
      </c>
      <c r="AT42" s="30"/>
    </row>
    <row r="43" spans="1:46" s="35" customFormat="1" ht="11" x14ac:dyDescent="0.15">
      <c r="A43" s="36" t="s">
        <v>5</v>
      </c>
      <c r="B43" s="37" t="s">
        <v>74</v>
      </c>
      <c r="C43" s="128">
        <f t="shared" ref="C43:AS43" si="220">SUM(C40:C42)</f>
        <v>74250</v>
      </c>
      <c r="D43" s="128">
        <f t="shared" si="220"/>
        <v>683950</v>
      </c>
      <c r="E43" s="128">
        <f t="shared" si="220"/>
        <v>731470</v>
      </c>
      <c r="F43" s="128">
        <f t="shared" si="220"/>
        <v>731470</v>
      </c>
      <c r="G43" s="128">
        <f t="shared" si="220"/>
        <v>731470</v>
      </c>
      <c r="H43" s="128">
        <f t="shared" si="220"/>
        <v>731470</v>
      </c>
      <c r="I43" s="128">
        <f t="shared" si="220"/>
        <v>731470</v>
      </c>
      <c r="J43" s="128">
        <f t="shared" si="220"/>
        <v>731470</v>
      </c>
      <c r="K43" s="128">
        <f t="shared" si="220"/>
        <v>731470</v>
      </c>
      <c r="L43" s="128">
        <f t="shared" si="220"/>
        <v>731470</v>
      </c>
      <c r="M43" s="128">
        <f t="shared" si="220"/>
        <v>731470</v>
      </c>
      <c r="N43" s="128">
        <f t="shared" si="220"/>
        <v>731470</v>
      </c>
      <c r="O43" s="128">
        <f t="shared" si="220"/>
        <v>8072900</v>
      </c>
      <c r="P43" s="128">
        <f t="shared" si="220"/>
        <v>672741.66666666674</v>
      </c>
      <c r="Q43" s="128">
        <f t="shared" si="220"/>
        <v>731470</v>
      </c>
      <c r="R43" s="128">
        <f t="shared" si="220"/>
        <v>731470</v>
      </c>
      <c r="S43" s="128">
        <f t="shared" si="220"/>
        <v>731470</v>
      </c>
      <c r="T43" s="128">
        <f t="shared" si="220"/>
        <v>731470</v>
      </c>
      <c r="U43" s="128">
        <f t="shared" si="220"/>
        <v>731470</v>
      </c>
      <c r="V43" s="128">
        <f t="shared" si="220"/>
        <v>731470</v>
      </c>
      <c r="W43" s="128">
        <f t="shared" si="220"/>
        <v>731470</v>
      </c>
      <c r="X43" s="128">
        <f t="shared" si="220"/>
        <v>731470</v>
      </c>
      <c r="Y43" s="128">
        <f t="shared" si="220"/>
        <v>731470</v>
      </c>
      <c r="Z43" s="128">
        <f t="shared" si="220"/>
        <v>731470</v>
      </c>
      <c r="AA43" s="128">
        <f t="shared" si="220"/>
        <v>731470</v>
      </c>
      <c r="AB43" s="128">
        <f t="shared" si="220"/>
        <v>731470</v>
      </c>
      <c r="AC43" s="128">
        <f t="shared" si="220"/>
        <v>8777640</v>
      </c>
      <c r="AD43" s="128">
        <f t="shared" si="220"/>
        <v>731470</v>
      </c>
      <c r="AE43" s="128">
        <f t="shared" si="220"/>
        <v>731470</v>
      </c>
      <c r="AF43" s="128">
        <f t="shared" si="220"/>
        <v>731470</v>
      </c>
      <c r="AG43" s="128">
        <f t="shared" si="220"/>
        <v>731470</v>
      </c>
      <c r="AH43" s="128">
        <f t="shared" si="220"/>
        <v>731470</v>
      </c>
      <c r="AI43" s="128">
        <f t="shared" si="220"/>
        <v>731470</v>
      </c>
      <c r="AJ43" s="128">
        <f t="shared" si="220"/>
        <v>731470</v>
      </c>
      <c r="AK43" s="128">
        <f t="shared" si="220"/>
        <v>731470</v>
      </c>
      <c r="AL43" s="128">
        <f t="shared" si="220"/>
        <v>731470</v>
      </c>
      <c r="AM43" s="128">
        <f t="shared" si="220"/>
        <v>731470</v>
      </c>
      <c r="AN43" s="128">
        <f t="shared" si="220"/>
        <v>731470</v>
      </c>
      <c r="AO43" s="128">
        <f t="shared" si="220"/>
        <v>731470</v>
      </c>
      <c r="AP43" s="128">
        <f t="shared" si="220"/>
        <v>731470</v>
      </c>
      <c r="AQ43" s="128">
        <f t="shared" si="220"/>
        <v>8777640</v>
      </c>
      <c r="AR43" s="128">
        <f t="shared" si="220"/>
        <v>731470</v>
      </c>
      <c r="AS43" s="155">
        <f t="shared" si="220"/>
        <v>25628180</v>
      </c>
      <c r="AT43" s="34"/>
    </row>
    <row r="44" spans="1:46" s="24" customFormat="1" ht="12" thickBot="1" x14ac:dyDescent="0.2">
      <c r="A44" s="38"/>
      <c r="B44" s="39"/>
      <c r="C44" s="40"/>
      <c r="D44" s="38"/>
      <c r="E44" s="38"/>
      <c r="F44" s="38"/>
      <c r="G44" s="38"/>
      <c r="H44" s="38"/>
      <c r="I44" s="38"/>
      <c r="J44" s="38"/>
      <c r="O44" s="76"/>
      <c r="P44" s="76"/>
      <c r="Q44" s="40"/>
      <c r="R44" s="38"/>
      <c r="S44" s="38"/>
      <c r="T44" s="38"/>
      <c r="U44" s="38"/>
      <c r="V44" s="38"/>
      <c r="W44" s="38"/>
      <c r="X44" s="38"/>
      <c r="AC44" s="76"/>
      <c r="AD44" s="76"/>
      <c r="AE44" s="40"/>
      <c r="AF44" s="38"/>
      <c r="AG44" s="38"/>
      <c r="AH44" s="38"/>
      <c r="AI44" s="38"/>
      <c r="AJ44" s="38"/>
      <c r="AK44" s="38"/>
      <c r="AL44" s="38"/>
      <c r="AQ44" s="76"/>
      <c r="AR44" s="76"/>
    </row>
    <row r="45" spans="1:46" s="24" customFormat="1" ht="24" thickTop="1" thickBot="1" x14ac:dyDescent="0.2">
      <c r="A45" s="22" t="s">
        <v>141</v>
      </c>
      <c r="B45" s="23"/>
      <c r="C45" s="23" t="str">
        <f t="shared" ref="C45:N45" si="221">C$6</f>
        <v>январь</v>
      </c>
      <c r="D45" s="23" t="str">
        <f t="shared" si="221"/>
        <v>февраль</v>
      </c>
      <c r="E45" s="23" t="str">
        <f t="shared" si="221"/>
        <v>март</v>
      </c>
      <c r="F45" s="23" t="str">
        <f t="shared" si="221"/>
        <v>апрель</v>
      </c>
      <c r="G45" s="23" t="str">
        <f t="shared" si="221"/>
        <v>май</v>
      </c>
      <c r="H45" s="23" t="str">
        <f t="shared" si="221"/>
        <v>июнь</v>
      </c>
      <c r="I45" s="23" t="str">
        <f t="shared" si="221"/>
        <v>июль</v>
      </c>
      <c r="J45" s="23" t="str">
        <f t="shared" si="221"/>
        <v>август</v>
      </c>
      <c r="K45" s="23" t="str">
        <f t="shared" si="221"/>
        <v>сентябрь</v>
      </c>
      <c r="L45" s="23" t="str">
        <f t="shared" si="221"/>
        <v>октябрь</v>
      </c>
      <c r="M45" s="23" t="str">
        <f t="shared" si="221"/>
        <v>ноябрь</v>
      </c>
      <c r="N45" s="23" t="str">
        <f t="shared" si="221"/>
        <v>декабрь</v>
      </c>
      <c r="O45" s="133" t="str">
        <f>O11</f>
        <v>Итого за 1-й год</v>
      </c>
      <c r="P45" s="133" t="str">
        <f>P11</f>
        <v>Среднемесячно за 1-й год</v>
      </c>
      <c r="Q45" s="23" t="str">
        <f t="shared" ref="Q45:AB45" si="222">Q$6</f>
        <v>январь</v>
      </c>
      <c r="R45" s="23" t="str">
        <f t="shared" si="222"/>
        <v>февраль</v>
      </c>
      <c r="S45" s="23" t="str">
        <f t="shared" si="222"/>
        <v>март</v>
      </c>
      <c r="T45" s="23" t="str">
        <f t="shared" si="222"/>
        <v>апрель</v>
      </c>
      <c r="U45" s="23" t="str">
        <f t="shared" si="222"/>
        <v>май</v>
      </c>
      <c r="V45" s="23" t="str">
        <f t="shared" si="222"/>
        <v>июнь</v>
      </c>
      <c r="W45" s="23" t="str">
        <f t="shared" si="222"/>
        <v>июль</v>
      </c>
      <c r="X45" s="23" t="str">
        <f t="shared" si="222"/>
        <v>август</v>
      </c>
      <c r="Y45" s="23" t="str">
        <f t="shared" si="222"/>
        <v>сентябрь</v>
      </c>
      <c r="Z45" s="23" t="str">
        <f t="shared" si="222"/>
        <v>октябрь</v>
      </c>
      <c r="AA45" s="23" t="str">
        <f t="shared" si="222"/>
        <v>ноябрь</v>
      </c>
      <c r="AB45" s="23" t="str">
        <f t="shared" si="222"/>
        <v>декабрь</v>
      </c>
      <c r="AC45" s="133" t="str">
        <f>AC11</f>
        <v>Итого за 2-й год</v>
      </c>
      <c r="AD45" s="133" t="str">
        <f>AD11</f>
        <v>Среднемесячно за 2-й год</v>
      </c>
      <c r="AE45" s="23" t="str">
        <f t="shared" ref="AE45:AP45" si="223">AE$6</f>
        <v>январь</v>
      </c>
      <c r="AF45" s="23" t="str">
        <f t="shared" si="223"/>
        <v>февраль</v>
      </c>
      <c r="AG45" s="23" t="str">
        <f t="shared" si="223"/>
        <v>март</v>
      </c>
      <c r="AH45" s="23" t="str">
        <f t="shared" si="223"/>
        <v>апрель</v>
      </c>
      <c r="AI45" s="23" t="str">
        <f t="shared" si="223"/>
        <v>май</v>
      </c>
      <c r="AJ45" s="23" t="str">
        <f t="shared" si="223"/>
        <v>июнь</v>
      </c>
      <c r="AK45" s="23" t="str">
        <f t="shared" si="223"/>
        <v>июль</v>
      </c>
      <c r="AL45" s="23" t="str">
        <f t="shared" si="223"/>
        <v>август</v>
      </c>
      <c r="AM45" s="23" t="str">
        <f t="shared" si="223"/>
        <v>сентябрь</v>
      </c>
      <c r="AN45" s="23" t="str">
        <f t="shared" si="223"/>
        <v>октябрь</v>
      </c>
      <c r="AO45" s="23" t="str">
        <f t="shared" si="223"/>
        <v>ноябрь</v>
      </c>
      <c r="AP45" s="23" t="str">
        <f t="shared" si="223"/>
        <v>декабрь</v>
      </c>
      <c r="AQ45" s="133" t="str">
        <f>AQ11</f>
        <v>Итого за 3-й год</v>
      </c>
      <c r="AR45" s="133" t="str">
        <f>AR11</f>
        <v>Среднемесячно за 3-й год</v>
      </c>
      <c r="AS45" s="156" t="str">
        <f>AS10</f>
        <v>Итого за три года</v>
      </c>
    </row>
    <row r="46" spans="1:46" s="24" customFormat="1" ht="12" thickTop="1" x14ac:dyDescent="0.15">
      <c r="A46" s="25"/>
      <c r="C46" s="26"/>
      <c r="D46" s="26"/>
      <c r="E46" s="26"/>
      <c r="F46" s="26"/>
      <c r="G46" s="26"/>
      <c r="H46" s="26"/>
      <c r="I46" s="26"/>
      <c r="J46" s="26"/>
      <c r="O46" s="76"/>
      <c r="P46" s="76"/>
      <c r="Q46" s="26"/>
      <c r="R46" s="26"/>
      <c r="S46" s="26"/>
      <c r="T46" s="26"/>
      <c r="U46" s="26"/>
      <c r="V46" s="26"/>
      <c r="W46" s="26"/>
      <c r="X46" s="26"/>
      <c r="AC46" s="76"/>
      <c r="AD46" s="76"/>
      <c r="AE46" s="26"/>
      <c r="AF46" s="26"/>
      <c r="AG46" s="26"/>
      <c r="AH46" s="26"/>
      <c r="AI46" s="26"/>
      <c r="AJ46" s="26"/>
      <c r="AK46" s="26"/>
      <c r="AL46" s="26"/>
      <c r="AQ46" s="76"/>
      <c r="AR46" s="76"/>
    </row>
    <row r="47" spans="1:46" s="43" customFormat="1" ht="11" x14ac:dyDescent="0.15">
      <c r="A47" s="81" t="s">
        <v>120</v>
      </c>
      <c r="B47" s="28" t="s">
        <v>74</v>
      </c>
      <c r="C47" s="41">
        <f>C37*'Обобщенный расчет'!$F$8*30</f>
        <v>0</v>
      </c>
      <c r="D47" s="41">
        <f>D37*'Обобщенный расчет'!$F$8*30</f>
        <v>0</v>
      </c>
      <c r="E47" s="41">
        <f>E37*'Обобщенный расчет'!$F$8*30</f>
        <v>0</v>
      </c>
      <c r="F47" s="41">
        <f>F37*'Обобщенный расчет'!$F$8*30</f>
        <v>0</v>
      </c>
      <c r="G47" s="41">
        <f>G37*'Обобщенный расчет'!$F$8*30</f>
        <v>0</v>
      </c>
      <c r="H47" s="41">
        <f>H37*'Обобщенный расчет'!$F$8*30</f>
        <v>0</v>
      </c>
      <c r="I47" s="41">
        <f>I37*'Обобщенный расчет'!$F$8*30</f>
        <v>0</v>
      </c>
      <c r="J47" s="41">
        <f>J37*'Обобщенный расчет'!$F$8*30</f>
        <v>0</v>
      </c>
      <c r="K47" s="41">
        <f>K37*'Обобщенный расчет'!$F$8*30</f>
        <v>0</v>
      </c>
      <c r="L47" s="41">
        <f>L37*'Обобщенный расчет'!$F$8*30</f>
        <v>0</v>
      </c>
      <c r="M47" s="41">
        <f>M37*'Обобщенный расчет'!$F$8*30</f>
        <v>0</v>
      </c>
      <c r="N47" s="41">
        <f>N37*'Обобщенный расчет'!$F$8*30</f>
        <v>0</v>
      </c>
      <c r="O47" s="144">
        <f>SUM(C47:N47)</f>
        <v>0</v>
      </c>
      <c r="P47" s="144">
        <f>O47/12</f>
        <v>0</v>
      </c>
      <c r="Q47" s="41">
        <f>Q37*'Обобщенный расчет'!$F$8*30</f>
        <v>0</v>
      </c>
      <c r="R47" s="41">
        <f>R37*'Обобщенный расчет'!$F$8*30</f>
        <v>0</v>
      </c>
      <c r="S47" s="41">
        <f>S37*'Обобщенный расчет'!$F$8*30</f>
        <v>0</v>
      </c>
      <c r="T47" s="41">
        <f>T37*'Обобщенный расчет'!$F$8*30</f>
        <v>0</v>
      </c>
      <c r="U47" s="41">
        <f>U37*'Обобщенный расчет'!$F$8*30</f>
        <v>0</v>
      </c>
      <c r="V47" s="41">
        <f>V37*'Обобщенный расчет'!$F$8*30</f>
        <v>0</v>
      </c>
      <c r="W47" s="41">
        <f>W37*'Обобщенный расчет'!$F$8*30</f>
        <v>0</v>
      </c>
      <c r="X47" s="41">
        <f>X37*'Обобщенный расчет'!$F$8*30</f>
        <v>0</v>
      </c>
      <c r="Y47" s="41">
        <f>Y37*'Обобщенный расчет'!$F$8*30</f>
        <v>0</v>
      </c>
      <c r="Z47" s="41">
        <f>Z37*'Обобщенный расчет'!$F$8*30</f>
        <v>0</v>
      </c>
      <c r="AA47" s="41">
        <f>AA37*'Обобщенный расчет'!$F$8*30</f>
        <v>0</v>
      </c>
      <c r="AB47" s="41">
        <f>AB37*'Обобщенный расчет'!$F$8*30</f>
        <v>0</v>
      </c>
      <c r="AC47" s="144">
        <f>SUM(Q47:AB47)</f>
        <v>0</v>
      </c>
      <c r="AD47" s="144">
        <f>AC47/12</f>
        <v>0</v>
      </c>
      <c r="AE47" s="41">
        <f>AE37*'Обобщенный расчет'!$F$8*30</f>
        <v>0</v>
      </c>
      <c r="AF47" s="41">
        <f>AF37*'Обобщенный расчет'!$F$8*30</f>
        <v>0</v>
      </c>
      <c r="AG47" s="41">
        <f>AG37*'Обобщенный расчет'!$F$8*30</f>
        <v>0</v>
      </c>
      <c r="AH47" s="41">
        <f>AH37*'Обобщенный расчет'!$F$8*30</f>
        <v>0</v>
      </c>
      <c r="AI47" s="41">
        <f>AI37*'Обобщенный расчет'!$F$8*30</f>
        <v>0</v>
      </c>
      <c r="AJ47" s="41">
        <f>AJ37*'Обобщенный расчет'!$F$8*30</f>
        <v>0</v>
      </c>
      <c r="AK47" s="41">
        <f>AK37*'Обобщенный расчет'!$F$8*30</f>
        <v>0</v>
      </c>
      <c r="AL47" s="41">
        <f>AL37*'Обобщенный расчет'!$F$8*30</f>
        <v>0</v>
      </c>
      <c r="AM47" s="41">
        <f>AM37*'Обобщенный расчет'!$F$8*30</f>
        <v>0</v>
      </c>
      <c r="AN47" s="41">
        <f>AN37*'Обобщенный расчет'!$F$8*30</f>
        <v>0</v>
      </c>
      <c r="AO47" s="41">
        <f>AO37*'Обобщенный расчет'!$F$8*30</f>
        <v>0</v>
      </c>
      <c r="AP47" s="41">
        <f>AP37*'Обобщенный расчет'!$F$8*30</f>
        <v>0</v>
      </c>
      <c r="AQ47" s="144">
        <f>SUM(AE47:AP47)</f>
        <v>0</v>
      </c>
      <c r="AR47" s="144">
        <f>AQ47/12</f>
        <v>0</v>
      </c>
      <c r="AS47" s="154">
        <f>O47+AC47+AQ47</f>
        <v>0</v>
      </c>
      <c r="AT47" s="42"/>
    </row>
    <row r="48" spans="1:46" s="35" customFormat="1" ht="11" x14ac:dyDescent="0.15">
      <c r="A48" s="36" t="s">
        <v>5</v>
      </c>
      <c r="B48" s="37" t="s">
        <v>74</v>
      </c>
      <c r="C48" s="128">
        <f t="shared" ref="C48:AS48" si="224">SUM(C47:C47)</f>
        <v>0</v>
      </c>
      <c r="D48" s="128">
        <f t="shared" si="224"/>
        <v>0</v>
      </c>
      <c r="E48" s="128">
        <f t="shared" si="224"/>
        <v>0</v>
      </c>
      <c r="F48" s="128">
        <f t="shared" si="224"/>
        <v>0</v>
      </c>
      <c r="G48" s="128">
        <f t="shared" si="224"/>
        <v>0</v>
      </c>
      <c r="H48" s="128">
        <f t="shared" si="224"/>
        <v>0</v>
      </c>
      <c r="I48" s="128">
        <f t="shared" si="224"/>
        <v>0</v>
      </c>
      <c r="J48" s="128">
        <f t="shared" si="224"/>
        <v>0</v>
      </c>
      <c r="K48" s="128">
        <f t="shared" si="224"/>
        <v>0</v>
      </c>
      <c r="L48" s="128">
        <f t="shared" si="224"/>
        <v>0</v>
      </c>
      <c r="M48" s="128">
        <f t="shared" si="224"/>
        <v>0</v>
      </c>
      <c r="N48" s="128">
        <f t="shared" si="224"/>
        <v>0</v>
      </c>
      <c r="O48" s="128">
        <f t="shared" si="224"/>
        <v>0</v>
      </c>
      <c r="P48" s="128">
        <f t="shared" si="224"/>
        <v>0</v>
      </c>
      <c r="Q48" s="128">
        <f t="shared" si="224"/>
        <v>0</v>
      </c>
      <c r="R48" s="128">
        <f t="shared" si="224"/>
        <v>0</v>
      </c>
      <c r="S48" s="128">
        <f t="shared" si="224"/>
        <v>0</v>
      </c>
      <c r="T48" s="128">
        <f t="shared" si="224"/>
        <v>0</v>
      </c>
      <c r="U48" s="128">
        <f t="shared" si="224"/>
        <v>0</v>
      </c>
      <c r="V48" s="128">
        <f t="shared" si="224"/>
        <v>0</v>
      </c>
      <c r="W48" s="128">
        <f t="shared" si="224"/>
        <v>0</v>
      </c>
      <c r="X48" s="128">
        <f t="shared" si="224"/>
        <v>0</v>
      </c>
      <c r="Y48" s="128">
        <f t="shared" si="224"/>
        <v>0</v>
      </c>
      <c r="Z48" s="128">
        <f t="shared" si="224"/>
        <v>0</v>
      </c>
      <c r="AA48" s="128">
        <f t="shared" si="224"/>
        <v>0</v>
      </c>
      <c r="AB48" s="128">
        <f t="shared" si="224"/>
        <v>0</v>
      </c>
      <c r="AC48" s="128">
        <f t="shared" si="224"/>
        <v>0</v>
      </c>
      <c r="AD48" s="128">
        <f t="shared" si="224"/>
        <v>0</v>
      </c>
      <c r="AE48" s="128">
        <f t="shared" si="224"/>
        <v>0</v>
      </c>
      <c r="AF48" s="128">
        <f t="shared" si="224"/>
        <v>0</v>
      </c>
      <c r="AG48" s="128">
        <f t="shared" si="224"/>
        <v>0</v>
      </c>
      <c r="AH48" s="128">
        <f t="shared" si="224"/>
        <v>0</v>
      </c>
      <c r="AI48" s="128">
        <f t="shared" si="224"/>
        <v>0</v>
      </c>
      <c r="AJ48" s="128">
        <f t="shared" si="224"/>
        <v>0</v>
      </c>
      <c r="AK48" s="128">
        <f t="shared" si="224"/>
        <v>0</v>
      </c>
      <c r="AL48" s="128">
        <f t="shared" si="224"/>
        <v>0</v>
      </c>
      <c r="AM48" s="128">
        <f t="shared" si="224"/>
        <v>0</v>
      </c>
      <c r="AN48" s="128">
        <f t="shared" si="224"/>
        <v>0</v>
      </c>
      <c r="AO48" s="128">
        <f t="shared" si="224"/>
        <v>0</v>
      </c>
      <c r="AP48" s="128">
        <f t="shared" si="224"/>
        <v>0</v>
      </c>
      <c r="AQ48" s="128">
        <f t="shared" si="224"/>
        <v>0</v>
      </c>
      <c r="AR48" s="128">
        <f t="shared" si="224"/>
        <v>0</v>
      </c>
      <c r="AS48" s="155">
        <f t="shared" si="224"/>
        <v>0</v>
      </c>
      <c r="AT48" s="34"/>
    </row>
    <row r="49" spans="1:46" s="35" customFormat="1" ht="12" thickBot="1" x14ac:dyDescent="0.2">
      <c r="A49" s="47"/>
      <c r="B49" s="32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146"/>
      <c r="P49" s="146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146"/>
      <c r="AD49" s="146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146"/>
      <c r="AR49" s="146"/>
      <c r="AS49" s="29"/>
      <c r="AT49" s="34"/>
    </row>
    <row r="50" spans="1:46" s="12" customFormat="1" ht="24" thickTop="1" thickBot="1" x14ac:dyDescent="0.2">
      <c r="A50" s="13" t="s">
        <v>152</v>
      </c>
      <c r="B50" s="14"/>
      <c r="C50" s="23" t="str">
        <f t="shared" ref="C50:N50" si="225">C$6</f>
        <v>январь</v>
      </c>
      <c r="D50" s="23" t="str">
        <f t="shared" si="225"/>
        <v>февраль</v>
      </c>
      <c r="E50" s="23" t="str">
        <f t="shared" si="225"/>
        <v>март</v>
      </c>
      <c r="F50" s="23" t="str">
        <f t="shared" si="225"/>
        <v>апрель</v>
      </c>
      <c r="G50" s="23" t="str">
        <f t="shared" si="225"/>
        <v>май</v>
      </c>
      <c r="H50" s="23" t="str">
        <f t="shared" si="225"/>
        <v>июнь</v>
      </c>
      <c r="I50" s="23" t="str">
        <f t="shared" si="225"/>
        <v>июль</v>
      </c>
      <c r="J50" s="23" t="str">
        <f t="shared" si="225"/>
        <v>август</v>
      </c>
      <c r="K50" s="23" t="str">
        <f t="shared" si="225"/>
        <v>сентябрь</v>
      </c>
      <c r="L50" s="23" t="str">
        <f t="shared" si="225"/>
        <v>октябрь</v>
      </c>
      <c r="M50" s="23" t="str">
        <f t="shared" si="225"/>
        <v>ноябрь</v>
      </c>
      <c r="N50" s="23" t="str">
        <f t="shared" si="225"/>
        <v>декабрь</v>
      </c>
      <c r="O50" s="145" t="str">
        <f>O45</f>
        <v>Итого за 1-й год</v>
      </c>
      <c r="P50" s="145" t="str">
        <f>P45</f>
        <v>Среднемесячно за 1-й год</v>
      </c>
      <c r="Q50" s="23" t="str">
        <f t="shared" ref="Q50:AB50" si="226">Q$6</f>
        <v>январь</v>
      </c>
      <c r="R50" s="23" t="str">
        <f t="shared" si="226"/>
        <v>февраль</v>
      </c>
      <c r="S50" s="23" t="str">
        <f t="shared" si="226"/>
        <v>март</v>
      </c>
      <c r="T50" s="23" t="str">
        <f t="shared" si="226"/>
        <v>апрель</v>
      </c>
      <c r="U50" s="23" t="str">
        <f t="shared" si="226"/>
        <v>май</v>
      </c>
      <c r="V50" s="23" t="str">
        <f t="shared" si="226"/>
        <v>июнь</v>
      </c>
      <c r="W50" s="23" t="str">
        <f t="shared" si="226"/>
        <v>июль</v>
      </c>
      <c r="X50" s="23" t="str">
        <f t="shared" si="226"/>
        <v>август</v>
      </c>
      <c r="Y50" s="23" t="str">
        <f t="shared" si="226"/>
        <v>сентябрь</v>
      </c>
      <c r="Z50" s="23" t="str">
        <f t="shared" si="226"/>
        <v>октябрь</v>
      </c>
      <c r="AA50" s="23" t="str">
        <f t="shared" si="226"/>
        <v>ноябрь</v>
      </c>
      <c r="AB50" s="23" t="str">
        <f t="shared" si="226"/>
        <v>декабрь</v>
      </c>
      <c r="AC50" s="145" t="str">
        <f>AC45</f>
        <v>Итого за 2-й год</v>
      </c>
      <c r="AD50" s="145" t="str">
        <f>AD45</f>
        <v>Среднемесячно за 2-й год</v>
      </c>
      <c r="AE50" s="23" t="str">
        <f t="shared" ref="AE50:AP50" si="227">AE$6</f>
        <v>январь</v>
      </c>
      <c r="AF50" s="23" t="str">
        <f t="shared" si="227"/>
        <v>февраль</v>
      </c>
      <c r="AG50" s="23" t="str">
        <f t="shared" si="227"/>
        <v>март</v>
      </c>
      <c r="AH50" s="23" t="str">
        <f t="shared" si="227"/>
        <v>апрель</v>
      </c>
      <c r="AI50" s="23" t="str">
        <f t="shared" si="227"/>
        <v>май</v>
      </c>
      <c r="AJ50" s="23" t="str">
        <f t="shared" si="227"/>
        <v>июнь</v>
      </c>
      <c r="AK50" s="23" t="str">
        <f t="shared" si="227"/>
        <v>июль</v>
      </c>
      <c r="AL50" s="23" t="str">
        <f t="shared" si="227"/>
        <v>август</v>
      </c>
      <c r="AM50" s="23" t="str">
        <f t="shared" si="227"/>
        <v>сентябрь</v>
      </c>
      <c r="AN50" s="23" t="str">
        <f t="shared" si="227"/>
        <v>октябрь</v>
      </c>
      <c r="AO50" s="23" t="str">
        <f t="shared" si="227"/>
        <v>ноябрь</v>
      </c>
      <c r="AP50" s="23" t="str">
        <f t="shared" si="227"/>
        <v>декабрь</v>
      </c>
      <c r="AQ50" s="145" t="str">
        <f>AQ45</f>
        <v>Итого за 3-й год</v>
      </c>
      <c r="AR50" s="145" t="str">
        <f>AR45</f>
        <v>Среднемесячно за 3-й год</v>
      </c>
      <c r="AS50" s="157" t="str">
        <f>AS45</f>
        <v>Итого за три года</v>
      </c>
    </row>
    <row r="51" spans="1:46" s="12" customFormat="1" ht="12" thickTop="1" x14ac:dyDescent="0.15">
      <c r="A51" s="48"/>
      <c r="B51" s="49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147"/>
      <c r="P51" s="147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147"/>
      <c r="AD51" s="147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147"/>
      <c r="AR51" s="147"/>
      <c r="AS51" s="50"/>
    </row>
    <row r="52" spans="1:46" s="43" customFormat="1" ht="11" x14ac:dyDescent="0.15">
      <c r="A52" s="27" t="str">
        <f>'Обобщенный расчет'!B25</f>
        <v>Брендирование помещения, вывеска</v>
      </c>
      <c r="B52" s="28" t="s">
        <v>74</v>
      </c>
      <c r="C52" s="41">
        <f>'Обобщенный расчет'!$D$25</f>
        <v>20000</v>
      </c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144">
        <f>SUM(C52:N52)</f>
        <v>20000</v>
      </c>
      <c r="P52" s="144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144">
        <f t="shared" ref="AC52:AC58" si="228">SUM(Q52:AB52)</f>
        <v>0</v>
      </c>
      <c r="AD52" s="144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144">
        <f t="shared" ref="AQ52:AQ58" si="229">SUM(AE52:AP52)</f>
        <v>0</v>
      </c>
      <c r="AR52" s="144"/>
      <c r="AS52" s="154">
        <f t="shared" ref="AS52:AS57" si="230">O52+AC52+AQ52</f>
        <v>20000</v>
      </c>
      <c r="AT52" s="42"/>
    </row>
    <row r="53" spans="1:46" s="46" customFormat="1" ht="11" x14ac:dyDescent="0.15">
      <c r="A53" s="31" t="str">
        <f>'Обобщенный расчет'!B27</f>
        <v>Офисная мебель</v>
      </c>
      <c r="B53" s="32" t="s">
        <v>74</v>
      </c>
      <c r="C53" s="44">
        <f>'Обобщенный расчет'!D27</f>
        <v>30000</v>
      </c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73">
        <f t="shared" ref="O53:O58" si="231">SUM(C53:N53)</f>
        <v>30000</v>
      </c>
      <c r="P53" s="73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73">
        <f t="shared" si="228"/>
        <v>0</v>
      </c>
      <c r="AD53" s="73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73">
        <f t="shared" si="229"/>
        <v>0</v>
      </c>
      <c r="AR53" s="73"/>
      <c r="AS53" s="154">
        <f t="shared" si="230"/>
        <v>30000</v>
      </c>
      <c r="AT53" s="45"/>
    </row>
    <row r="54" spans="1:46" s="43" customFormat="1" ht="11" x14ac:dyDescent="0.15">
      <c r="A54" s="27" t="str">
        <f>'Обобщенный расчет'!B29</f>
        <v>Компьютеры, офисная техника, программное обеспечение</v>
      </c>
      <c r="B54" s="28" t="s">
        <v>74</v>
      </c>
      <c r="C54" s="41">
        <f>'Обобщенный расчет'!D29</f>
        <v>25000</v>
      </c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144">
        <f t="shared" si="231"/>
        <v>25000</v>
      </c>
      <c r="P54" s="144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144">
        <f t="shared" si="228"/>
        <v>0</v>
      </c>
      <c r="AD54" s="144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144">
        <f t="shared" si="229"/>
        <v>0</v>
      </c>
      <c r="AR54" s="144"/>
      <c r="AS54" s="154">
        <f t="shared" si="230"/>
        <v>25000</v>
      </c>
      <c r="AT54" s="42"/>
    </row>
    <row r="55" spans="1:46" s="46" customFormat="1" ht="11" x14ac:dyDescent="0.15">
      <c r="A55" s="31" t="str">
        <f>'Обобщенный расчет'!B31</f>
        <v>Закупка и установка сигнализации</v>
      </c>
      <c r="B55" s="32" t="s">
        <v>74</v>
      </c>
      <c r="C55" s="44">
        <f>'Обобщенный расчет'!D31</f>
        <v>5000</v>
      </c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73">
        <f>SUM(C55:N55)</f>
        <v>5000</v>
      </c>
      <c r="P55" s="7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73">
        <f>SUM(Q55:AB55)</f>
        <v>0</v>
      </c>
      <c r="AD55" s="73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73">
        <f>SUM(AE55:AP55)</f>
        <v>0</v>
      </c>
      <c r="AR55" s="73"/>
      <c r="AS55" s="154">
        <f>O55+AC55+AQ55</f>
        <v>5000</v>
      </c>
      <c r="AT55" s="45"/>
    </row>
    <row r="56" spans="1:46" s="43" customFormat="1" ht="11" x14ac:dyDescent="0.15">
      <c r="A56" s="27" t="str">
        <f>'Обобщенный расчет'!B33</f>
        <v>Рекламная кампания</v>
      </c>
      <c r="B56" s="28" t="s">
        <v>74</v>
      </c>
      <c r="C56" s="41">
        <f>'Обобщенный расчет'!D33</f>
        <v>10000</v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144">
        <f t="shared" si="231"/>
        <v>10000</v>
      </c>
      <c r="P56" s="144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144">
        <f t="shared" si="228"/>
        <v>0</v>
      </c>
      <c r="AD56" s="144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144">
        <f t="shared" si="229"/>
        <v>0</v>
      </c>
      <c r="AR56" s="144"/>
      <c r="AS56" s="154">
        <f t="shared" si="230"/>
        <v>10000</v>
      </c>
      <c r="AT56" s="42"/>
    </row>
    <row r="57" spans="1:46" s="46" customFormat="1" ht="11" x14ac:dyDescent="0.15">
      <c r="A57" s="31" t="str">
        <f>'Обобщенный расчет'!B35</f>
        <v>Паушальный взнос</v>
      </c>
      <c r="B57" s="32" t="s">
        <v>74</v>
      </c>
      <c r="C57" s="44">
        <f>'Обобщенный расчет'!D35</f>
        <v>550000</v>
      </c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73">
        <f t="shared" si="231"/>
        <v>550000</v>
      </c>
      <c r="P57" s="73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73">
        <f t="shared" si="228"/>
        <v>0</v>
      </c>
      <c r="AD57" s="73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73">
        <f t="shared" si="229"/>
        <v>0</v>
      </c>
      <c r="AR57" s="73"/>
      <c r="AS57" s="154">
        <f t="shared" si="230"/>
        <v>550000</v>
      </c>
      <c r="AT57" s="45"/>
    </row>
    <row r="58" spans="1:46" s="43" customFormat="1" ht="11" x14ac:dyDescent="0.15">
      <c r="A58" s="27" t="str">
        <f>'Обобщенный расчет'!B37</f>
        <v>Прочее</v>
      </c>
      <c r="B58" s="28" t="s">
        <v>74</v>
      </c>
      <c r="C58" s="41">
        <f>'Обобщенный расчет'!D37</f>
        <v>0</v>
      </c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144">
        <f t="shared" si="231"/>
        <v>0</v>
      </c>
      <c r="P58" s="144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144">
        <f t="shared" si="228"/>
        <v>0</v>
      </c>
      <c r="AD58" s="144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144">
        <f t="shared" si="229"/>
        <v>0</v>
      </c>
      <c r="AR58" s="144"/>
      <c r="AS58" s="154">
        <f>O58+AC58+AQ58</f>
        <v>0</v>
      </c>
      <c r="AT58" s="42"/>
    </row>
    <row r="59" spans="1:46" s="35" customFormat="1" ht="11" x14ac:dyDescent="0.15">
      <c r="A59" s="36" t="s">
        <v>5</v>
      </c>
      <c r="B59" s="37" t="s">
        <v>74</v>
      </c>
      <c r="C59" s="128">
        <f t="shared" ref="C59:O59" si="232">SUM(C52:C58)</f>
        <v>640000</v>
      </c>
      <c r="D59" s="128">
        <f t="shared" si="232"/>
        <v>0</v>
      </c>
      <c r="E59" s="128">
        <f t="shared" si="232"/>
        <v>0</v>
      </c>
      <c r="F59" s="128">
        <f t="shared" si="232"/>
        <v>0</v>
      </c>
      <c r="G59" s="128">
        <f t="shared" si="232"/>
        <v>0</v>
      </c>
      <c r="H59" s="128">
        <f t="shared" si="232"/>
        <v>0</v>
      </c>
      <c r="I59" s="128">
        <f t="shared" si="232"/>
        <v>0</v>
      </c>
      <c r="J59" s="128">
        <f t="shared" si="232"/>
        <v>0</v>
      </c>
      <c r="K59" s="128">
        <f t="shared" si="232"/>
        <v>0</v>
      </c>
      <c r="L59" s="128">
        <f t="shared" si="232"/>
        <v>0</v>
      </c>
      <c r="M59" s="128">
        <f t="shared" si="232"/>
        <v>0</v>
      </c>
      <c r="N59" s="128">
        <f t="shared" si="232"/>
        <v>0</v>
      </c>
      <c r="O59" s="128">
        <f t="shared" si="232"/>
        <v>640000</v>
      </c>
      <c r="P59" s="128"/>
      <c r="Q59" s="128">
        <f t="shared" ref="Q59:AC59" si="233">SUM(Q52:Q58)</f>
        <v>0</v>
      </c>
      <c r="R59" s="128">
        <f t="shared" si="233"/>
        <v>0</v>
      </c>
      <c r="S59" s="128">
        <f t="shared" si="233"/>
        <v>0</v>
      </c>
      <c r="T59" s="128">
        <f t="shared" si="233"/>
        <v>0</v>
      </c>
      <c r="U59" s="128">
        <f t="shared" si="233"/>
        <v>0</v>
      </c>
      <c r="V59" s="128">
        <f t="shared" si="233"/>
        <v>0</v>
      </c>
      <c r="W59" s="128">
        <f t="shared" si="233"/>
        <v>0</v>
      </c>
      <c r="X59" s="128">
        <f t="shared" si="233"/>
        <v>0</v>
      </c>
      <c r="Y59" s="128">
        <f t="shared" si="233"/>
        <v>0</v>
      </c>
      <c r="Z59" s="128">
        <f t="shared" si="233"/>
        <v>0</v>
      </c>
      <c r="AA59" s="128">
        <f t="shared" si="233"/>
        <v>0</v>
      </c>
      <c r="AB59" s="128">
        <f t="shared" si="233"/>
        <v>0</v>
      </c>
      <c r="AC59" s="128">
        <f t="shared" si="233"/>
        <v>0</v>
      </c>
      <c r="AD59" s="128"/>
      <c r="AE59" s="128">
        <f t="shared" ref="AE59:AQ59" si="234">SUM(AE52:AE58)</f>
        <v>0</v>
      </c>
      <c r="AF59" s="128">
        <f t="shared" si="234"/>
        <v>0</v>
      </c>
      <c r="AG59" s="128">
        <f t="shared" si="234"/>
        <v>0</v>
      </c>
      <c r="AH59" s="128">
        <f t="shared" si="234"/>
        <v>0</v>
      </c>
      <c r="AI59" s="128">
        <f t="shared" si="234"/>
        <v>0</v>
      </c>
      <c r="AJ59" s="128">
        <f t="shared" si="234"/>
        <v>0</v>
      </c>
      <c r="AK59" s="128">
        <f t="shared" si="234"/>
        <v>0</v>
      </c>
      <c r="AL59" s="128">
        <f t="shared" si="234"/>
        <v>0</v>
      </c>
      <c r="AM59" s="128">
        <f t="shared" si="234"/>
        <v>0</v>
      </c>
      <c r="AN59" s="128">
        <f t="shared" si="234"/>
        <v>0</v>
      </c>
      <c r="AO59" s="128">
        <f t="shared" si="234"/>
        <v>0</v>
      </c>
      <c r="AP59" s="128">
        <f t="shared" si="234"/>
        <v>0</v>
      </c>
      <c r="AQ59" s="128">
        <f t="shared" si="234"/>
        <v>0</v>
      </c>
      <c r="AR59" s="128"/>
      <c r="AS59" s="155">
        <f>O59+AC59+AQ59</f>
        <v>640000</v>
      </c>
      <c r="AT59" s="34"/>
    </row>
    <row r="60" spans="1:46" s="87" customFormat="1" ht="12" thickBot="1" x14ac:dyDescent="0.2">
      <c r="A60" s="83"/>
      <c r="B60" s="84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6"/>
    </row>
    <row r="61" spans="1:46" s="12" customFormat="1" ht="24" thickTop="1" thickBot="1" x14ac:dyDescent="0.2">
      <c r="A61" s="13" t="s">
        <v>10</v>
      </c>
      <c r="B61" s="14"/>
      <c r="C61" s="23" t="str">
        <f t="shared" ref="C61:N61" si="235">C$6</f>
        <v>январь</v>
      </c>
      <c r="D61" s="23" t="str">
        <f t="shared" si="235"/>
        <v>февраль</v>
      </c>
      <c r="E61" s="23" t="str">
        <f t="shared" si="235"/>
        <v>март</v>
      </c>
      <c r="F61" s="23" t="str">
        <f t="shared" si="235"/>
        <v>апрель</v>
      </c>
      <c r="G61" s="23" t="str">
        <f t="shared" si="235"/>
        <v>май</v>
      </c>
      <c r="H61" s="23" t="str">
        <f t="shared" si="235"/>
        <v>июнь</v>
      </c>
      <c r="I61" s="23" t="str">
        <f t="shared" si="235"/>
        <v>июль</v>
      </c>
      <c r="J61" s="23" t="str">
        <f t="shared" si="235"/>
        <v>август</v>
      </c>
      <c r="K61" s="23" t="str">
        <f t="shared" si="235"/>
        <v>сентябрь</v>
      </c>
      <c r="L61" s="23" t="str">
        <f t="shared" si="235"/>
        <v>октябрь</v>
      </c>
      <c r="M61" s="23" t="str">
        <f t="shared" si="235"/>
        <v>ноябрь</v>
      </c>
      <c r="N61" s="23" t="str">
        <f t="shared" si="235"/>
        <v>декабрь</v>
      </c>
      <c r="O61" s="145" t="str">
        <f>O50</f>
        <v>Итого за 1-й год</v>
      </c>
      <c r="P61" s="145" t="str">
        <f>P50</f>
        <v>Среднемесячно за 1-й год</v>
      </c>
      <c r="Q61" s="23" t="str">
        <f t="shared" ref="Q61:AB61" si="236">Q$6</f>
        <v>январь</v>
      </c>
      <c r="R61" s="23" t="str">
        <f t="shared" si="236"/>
        <v>февраль</v>
      </c>
      <c r="S61" s="23" t="str">
        <f t="shared" si="236"/>
        <v>март</v>
      </c>
      <c r="T61" s="23" t="str">
        <f t="shared" si="236"/>
        <v>апрель</v>
      </c>
      <c r="U61" s="23" t="str">
        <f t="shared" si="236"/>
        <v>май</v>
      </c>
      <c r="V61" s="23" t="str">
        <f t="shared" si="236"/>
        <v>июнь</v>
      </c>
      <c r="W61" s="23" t="str">
        <f t="shared" si="236"/>
        <v>июль</v>
      </c>
      <c r="X61" s="23" t="str">
        <f t="shared" si="236"/>
        <v>август</v>
      </c>
      <c r="Y61" s="23" t="str">
        <f t="shared" si="236"/>
        <v>сентябрь</v>
      </c>
      <c r="Z61" s="23" t="str">
        <f t="shared" si="236"/>
        <v>октябрь</v>
      </c>
      <c r="AA61" s="23" t="str">
        <f t="shared" si="236"/>
        <v>ноябрь</v>
      </c>
      <c r="AB61" s="23" t="str">
        <f t="shared" si="236"/>
        <v>декабрь</v>
      </c>
      <c r="AC61" s="145" t="str">
        <f>AC50</f>
        <v>Итого за 2-й год</v>
      </c>
      <c r="AD61" s="145" t="str">
        <f>AD50</f>
        <v>Среднемесячно за 2-й год</v>
      </c>
      <c r="AE61" s="23" t="str">
        <f t="shared" ref="AE61:AP61" si="237">AE$6</f>
        <v>январь</v>
      </c>
      <c r="AF61" s="23" t="str">
        <f t="shared" si="237"/>
        <v>февраль</v>
      </c>
      <c r="AG61" s="23" t="str">
        <f t="shared" si="237"/>
        <v>март</v>
      </c>
      <c r="AH61" s="23" t="str">
        <f t="shared" si="237"/>
        <v>апрель</v>
      </c>
      <c r="AI61" s="23" t="str">
        <f t="shared" si="237"/>
        <v>май</v>
      </c>
      <c r="AJ61" s="23" t="str">
        <f t="shared" si="237"/>
        <v>июнь</v>
      </c>
      <c r="AK61" s="23" t="str">
        <f t="shared" si="237"/>
        <v>июль</v>
      </c>
      <c r="AL61" s="23" t="str">
        <f t="shared" si="237"/>
        <v>август</v>
      </c>
      <c r="AM61" s="23" t="str">
        <f t="shared" si="237"/>
        <v>сентябрь</v>
      </c>
      <c r="AN61" s="23" t="str">
        <f t="shared" si="237"/>
        <v>октябрь</v>
      </c>
      <c r="AO61" s="23" t="str">
        <f t="shared" si="237"/>
        <v>ноябрь</v>
      </c>
      <c r="AP61" s="23" t="str">
        <f t="shared" si="237"/>
        <v>декабрь</v>
      </c>
      <c r="AQ61" s="145" t="str">
        <f>AQ50</f>
        <v>Итого за 3-й год</v>
      </c>
      <c r="AR61" s="145" t="str">
        <f>AR50</f>
        <v>Среднемесячно за 3-й год</v>
      </c>
      <c r="AS61" s="157" t="str">
        <f>AS50</f>
        <v>Итого за три года</v>
      </c>
    </row>
    <row r="62" spans="1:46" s="12" customFormat="1" ht="12" hidden="1" thickTop="1" x14ac:dyDescent="0.15">
      <c r="A62" s="182" t="s">
        <v>158</v>
      </c>
      <c r="B62" s="49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147"/>
      <c r="P62" s="147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147"/>
      <c r="AD62" s="147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147"/>
      <c r="AR62" s="147"/>
      <c r="AS62" s="50"/>
    </row>
    <row r="63" spans="1:46" s="186" customFormat="1" ht="11" hidden="1" x14ac:dyDescent="0.15">
      <c r="A63" s="182" t="str">
        <f>'Обобщенный расчет'!N1</f>
        <v>Ломбард</v>
      </c>
      <c r="B63" s="183"/>
      <c r="C63" s="184">
        <f>C18*'Исходные данные'!$F$53+'Исходные данные'!$E$53*30*'Исходные данные'!$D$53+C18*'Исходные данные'!$I$53+'Исходные данные'!$G$53*'Исходные данные'!$H$53*30*'Обобщенный расчет'!$D$3</f>
        <v>45750</v>
      </c>
      <c r="D63" s="184">
        <f>D18*'Исходные данные'!$F$53+'Исходные данные'!$E$53*30*'Исходные данные'!$D$53+D18*'Исходные данные'!$I$53+'Исходные данные'!$G$53*'Исходные данные'!$H$53*30*'Обобщенный расчет'!$D$3</f>
        <v>49500</v>
      </c>
      <c r="E63" s="184">
        <f>E18*'Исходные данные'!$F$53+'Исходные данные'!$E$53*30*'Исходные данные'!$D$53+E18*'Исходные данные'!$I$53+'Исходные данные'!$G$53*'Исходные данные'!$H$53*30*'Обобщенный расчет'!$D$3</f>
        <v>54000</v>
      </c>
      <c r="F63" s="184">
        <f>F18*'Исходные данные'!$F$53+'Исходные данные'!$E$53*30*'Исходные данные'!$D$53+F18*'Исходные данные'!$I$53+'Исходные данные'!$G$53*'Исходные данные'!$H$53*30*'Обобщенный расчет'!$D$3</f>
        <v>57000</v>
      </c>
      <c r="G63" s="184">
        <f>G18*'Исходные данные'!$F$53+'Исходные данные'!$E$53*30*'Исходные данные'!$D$53+G18*'Исходные данные'!$I$53+'Исходные данные'!$G$53*'Исходные данные'!$H$53*30*'Обобщенный расчет'!$D$3</f>
        <v>57000</v>
      </c>
      <c r="H63" s="184">
        <f>H18*'Исходные данные'!$F$53+'Исходные данные'!$E$53*30*'Исходные данные'!$D$53+H18*'Исходные данные'!$I$53+'Исходные данные'!$G$53*'Исходные данные'!$H$53*30*'Обобщенный расчет'!$D$3</f>
        <v>57000</v>
      </c>
      <c r="I63" s="184">
        <f>I18*'Исходные данные'!$F$53+'Исходные данные'!$E$53*30*'Исходные данные'!$D$53+I18*'Исходные данные'!$I$53+'Исходные данные'!$G$53*'Исходные данные'!$H$53*30*'Обобщенный расчет'!$D$3</f>
        <v>57000</v>
      </c>
      <c r="J63" s="184">
        <f>J18*'Исходные данные'!$F$53+'Исходные данные'!$E$53*30*'Исходные данные'!$D$53+J18*'Исходные данные'!$I$53+'Исходные данные'!$G$53*'Исходные данные'!$H$53*30*'Обобщенный расчет'!$D$3</f>
        <v>57000</v>
      </c>
      <c r="K63" s="184">
        <f>K18*'Исходные данные'!$F$53+'Исходные данные'!$E$53*30*'Исходные данные'!$D$53+K18*'Исходные данные'!$I$53+'Исходные данные'!$G$53*'Исходные данные'!$H$53*30*'Обобщенный расчет'!$D$3</f>
        <v>57000</v>
      </c>
      <c r="L63" s="184">
        <f>L18*'Исходные данные'!$F$53+'Исходные данные'!$E$53*30*'Исходные данные'!$D$53+L18*'Исходные данные'!$I$53+'Исходные данные'!$G$53*'Исходные данные'!$H$53*30*'Обобщенный расчет'!$D$3</f>
        <v>57000</v>
      </c>
      <c r="M63" s="184">
        <f>M18*'Исходные данные'!$F$53+'Исходные данные'!$E$53*30*'Исходные данные'!$D$53+M18*'Исходные данные'!$I$53+'Исходные данные'!$G$53*'Исходные данные'!$H$53*30*'Обобщенный расчет'!$D$3</f>
        <v>57000</v>
      </c>
      <c r="N63" s="184">
        <f>N18*'Исходные данные'!$F$53+'Исходные данные'!$E$53*30*'Исходные данные'!$D$53+N18*'Исходные данные'!$I$53+'Исходные данные'!$G$53*'Исходные данные'!$H$53*30*'Обобщенный расчет'!$D$3</f>
        <v>57000</v>
      </c>
      <c r="O63" s="185"/>
      <c r="P63" s="185"/>
      <c r="Q63" s="184">
        <f>Q18*'Исходные данные'!$F$53+'Исходные данные'!$E$53*30*'Исходные данные'!$D$53+Q18*'Исходные данные'!$I$53+'Исходные данные'!$G$53*'Исходные данные'!$H$53*30*'Обобщенный расчет'!$D$3</f>
        <v>57000</v>
      </c>
      <c r="R63" s="184">
        <f>R18*'Исходные данные'!$F$53+'Исходные данные'!$E$53*30*'Исходные данные'!$D$53+R18*'Исходные данные'!$I$53+'Исходные данные'!$G$53*'Исходные данные'!$H$53*30*'Обобщенный расчет'!$D$3</f>
        <v>57000</v>
      </c>
      <c r="S63" s="184">
        <f>S18*'Исходные данные'!$F$53+'Исходные данные'!$E$53*30*'Исходные данные'!$D$53+S18*'Исходные данные'!$I$53+'Исходные данные'!$G$53*'Исходные данные'!$H$53*30*'Обобщенный расчет'!$D$3</f>
        <v>57000</v>
      </c>
      <c r="T63" s="184">
        <f>T18*'Исходные данные'!$F$53+'Исходные данные'!$E$53*30*'Исходные данные'!$D$53+T18*'Исходные данные'!$I$53+'Исходные данные'!$G$53*'Исходные данные'!$H$53*30*'Обобщенный расчет'!$D$3</f>
        <v>57000</v>
      </c>
      <c r="U63" s="184">
        <f>U18*'Исходные данные'!$F$53+'Исходные данные'!$E$53*30*'Исходные данные'!$D$53+U18*'Исходные данные'!$I$53+'Исходные данные'!$G$53*'Исходные данные'!$H$53*30*'Обобщенный расчет'!$D$3</f>
        <v>57000</v>
      </c>
      <c r="V63" s="184">
        <f>V18*'Исходные данные'!$F$53+'Исходные данные'!$E$53*30*'Исходные данные'!$D$53+V18*'Исходные данные'!$I$53+'Исходные данные'!$G$53*'Исходные данные'!$H$53*30*'Обобщенный расчет'!$D$3</f>
        <v>57000</v>
      </c>
      <c r="W63" s="184">
        <f>W18*'Исходные данные'!$F$53+'Исходные данные'!$E$53*30*'Исходные данные'!$D$53+W18*'Исходные данные'!$I$53+'Исходные данные'!$G$53*'Исходные данные'!$H$53*30*'Обобщенный расчет'!$D$3</f>
        <v>57000</v>
      </c>
      <c r="X63" s="184">
        <f>X18*'Исходные данные'!$F$53+'Исходные данные'!$E$53*30*'Исходные данные'!$D$53+X18*'Исходные данные'!$I$53+'Исходные данные'!$G$53*'Исходные данные'!$H$53*30*'Обобщенный расчет'!$D$3</f>
        <v>57000</v>
      </c>
      <c r="Y63" s="184">
        <f>Y18*'Исходные данные'!$F$53+'Исходные данные'!$E$53*30*'Исходные данные'!$D$53+Y18*'Исходные данные'!$I$53+'Исходные данные'!$G$53*'Исходные данные'!$H$53*30*'Обобщенный расчет'!$D$3</f>
        <v>57000</v>
      </c>
      <c r="Z63" s="184">
        <f>Z18*'Исходные данные'!$F$53+'Исходные данные'!$E$53*30*'Исходные данные'!$D$53+Z18*'Исходные данные'!$I$53+'Исходные данные'!$G$53*'Исходные данные'!$H$53*30*'Обобщенный расчет'!$D$3</f>
        <v>57000</v>
      </c>
      <c r="AA63" s="184">
        <f>AA18*'Исходные данные'!$F$53+'Исходные данные'!$E$53*30*'Исходные данные'!$D$53+AA18*'Исходные данные'!$I$53+'Исходные данные'!$G$53*'Исходные данные'!$H$53*30*'Обобщенный расчет'!$D$3</f>
        <v>57000</v>
      </c>
      <c r="AB63" s="184">
        <f>AB18*'Исходные данные'!$F$53+'Исходные данные'!$E$53*30*'Исходные данные'!$D$53+AB18*'Исходные данные'!$I$53+'Исходные данные'!$G$53*'Исходные данные'!$H$53*30*'Обобщенный расчет'!$D$3</f>
        <v>57000</v>
      </c>
      <c r="AC63" s="185"/>
      <c r="AD63" s="185"/>
      <c r="AE63" s="184">
        <f>AE18*'Исходные данные'!$F$53+'Исходные данные'!$E$53*30*'Исходные данные'!$D$53+AE18*'Исходные данные'!$I$53+'Исходные данные'!$G$53*'Исходные данные'!$H$53*30*'Обобщенный расчет'!$D$3</f>
        <v>57000</v>
      </c>
      <c r="AF63" s="184">
        <f>AF18*'Исходные данные'!$F$53+'Исходные данные'!$E$53*30*'Исходные данные'!$D$53+AF18*'Исходные данные'!$I$53+'Исходные данные'!$G$53*'Исходные данные'!$H$53*30*'Обобщенный расчет'!$D$3</f>
        <v>57000</v>
      </c>
      <c r="AG63" s="184">
        <f>AG18*'Исходные данные'!$F$53+'Исходные данные'!$E$53*30*'Исходные данные'!$D$53+AG18*'Исходные данные'!$I$53+'Исходные данные'!$G$53*'Исходные данные'!$H$53*30*'Обобщенный расчет'!$D$3</f>
        <v>57000</v>
      </c>
      <c r="AH63" s="184">
        <f>AH18*'Исходные данные'!$F$53+'Исходные данные'!$E$53*30*'Исходные данные'!$D$53+AH18*'Исходные данные'!$I$53+'Исходные данные'!$G$53*'Исходные данные'!$H$53*30*'Обобщенный расчет'!$D$3</f>
        <v>57000</v>
      </c>
      <c r="AI63" s="184">
        <f>AI18*'Исходные данные'!$F$53+'Исходные данные'!$E$53*30*'Исходные данные'!$D$53+AI18*'Исходные данные'!$I$53+'Исходные данные'!$G$53*'Исходные данные'!$H$53*30*'Обобщенный расчет'!$D$3</f>
        <v>57000</v>
      </c>
      <c r="AJ63" s="184">
        <f>AJ18*'Исходные данные'!$F$53+'Исходные данные'!$E$53*30*'Исходные данные'!$D$53+AJ18*'Исходные данные'!$I$53+'Исходные данные'!$G$53*'Исходные данные'!$H$53*30*'Обобщенный расчет'!$D$3</f>
        <v>57000</v>
      </c>
      <c r="AK63" s="184">
        <f>AK18*'Исходные данные'!$F$53+'Исходные данные'!$E$53*30*'Исходные данные'!$D$53+AK18*'Исходные данные'!$I$53+'Исходные данные'!$G$53*'Исходные данные'!$H$53*30*'Обобщенный расчет'!$D$3</f>
        <v>57000</v>
      </c>
      <c r="AL63" s="184">
        <f>AL18*'Исходные данные'!$F$53+'Исходные данные'!$E$53*30*'Исходные данные'!$D$53+AL18*'Исходные данные'!$I$53+'Исходные данные'!$G$53*'Исходные данные'!$H$53*30*'Обобщенный расчет'!$D$3</f>
        <v>57000</v>
      </c>
      <c r="AM63" s="184">
        <f>AM18*'Исходные данные'!$F$53+'Исходные данные'!$E$53*30*'Исходные данные'!$D$53+AM18*'Исходные данные'!$I$53+'Исходные данные'!$G$53*'Исходные данные'!$H$53*30*'Обобщенный расчет'!$D$3</f>
        <v>57000</v>
      </c>
      <c r="AN63" s="184">
        <f>AN18*'Исходные данные'!$F$53+'Исходные данные'!$E$53*30*'Исходные данные'!$D$53+AN18*'Исходные данные'!$I$53+'Исходные данные'!$G$53*'Исходные данные'!$H$53*30*'Обобщенный расчет'!$D$3</f>
        <v>57000</v>
      </c>
      <c r="AO63" s="184">
        <f>AO18*'Исходные данные'!$F$53+'Исходные данные'!$E$53*30*'Исходные данные'!$D$53+AO18*'Исходные данные'!$I$53+'Исходные данные'!$G$53*'Исходные данные'!$H$53*30*'Обобщенный расчет'!$D$3</f>
        <v>57000</v>
      </c>
      <c r="AP63" s="184">
        <f>AP18*'Исходные данные'!$F$53+'Исходные данные'!$E$53*30*'Исходные данные'!$D$53+AP18*'Исходные данные'!$I$53+'Исходные данные'!$G$53*'Исходные данные'!$H$53*30*'Обобщенный расчет'!$D$3</f>
        <v>57000</v>
      </c>
      <c r="AQ63" s="185"/>
      <c r="AR63" s="185"/>
      <c r="AS63" s="184"/>
    </row>
    <row r="64" spans="1:46" s="186" customFormat="1" ht="11" hidden="1" x14ac:dyDescent="0.15">
      <c r="A64" s="182" t="str">
        <f>'Обобщенный расчет'!N2</f>
        <v>Стандарт</v>
      </c>
      <c r="B64" s="183"/>
      <c r="C64" s="184">
        <f>C18*'Исходные данные'!$F$54+'Исходные данные'!$E$54*30*'Исходные данные'!$D$54+C18*'Исходные данные'!$I$54+'Исходные данные'!$G$54*'Исходные данные'!$H$54*30*'Обобщенный расчет'!$D$3</f>
        <v>45750</v>
      </c>
      <c r="D64" s="184">
        <f>D18*'Исходные данные'!$F$54+'Исходные данные'!$E$54*30*'Исходные данные'!$D$54+D18*'Исходные данные'!$I$54+'Исходные данные'!$G$54*'Исходные данные'!$H$54*30*'Обобщенный расчет'!$D$3</f>
        <v>49500</v>
      </c>
      <c r="E64" s="184">
        <f>E18*'Исходные данные'!$F$54+'Исходные данные'!$E$54*30*'Исходные данные'!$D$54+E18*'Исходные данные'!$I$54+'Исходные данные'!$G$54*'Исходные данные'!$H$54*30*'Обобщенный расчет'!$D$3</f>
        <v>54000</v>
      </c>
      <c r="F64" s="184">
        <f>F18*'Исходные данные'!$F$54+'Исходные данные'!$E$54*30*'Исходные данные'!$D$54+F18*'Исходные данные'!$I$54+'Исходные данные'!$G$54*'Исходные данные'!$H$54*30*'Обобщенный расчет'!$D$3</f>
        <v>57000</v>
      </c>
      <c r="G64" s="184">
        <f>G18*'Исходные данные'!$F$54+'Исходные данные'!$E$54*30*'Исходные данные'!$D$54+G18*'Исходные данные'!$I$54+'Исходные данные'!$G$54*'Исходные данные'!$H$54*30*'Обобщенный расчет'!$D$3</f>
        <v>57000</v>
      </c>
      <c r="H64" s="184">
        <f>H18*'Исходные данные'!$F$54+'Исходные данные'!$E$54*30*'Исходные данные'!$D$54+H18*'Исходные данные'!$I$54+'Исходные данные'!$G$54*'Исходные данные'!$H$54*30*'Обобщенный расчет'!$D$3</f>
        <v>57000</v>
      </c>
      <c r="I64" s="184">
        <f>I18*'Исходные данные'!$F$54+'Исходные данные'!$E$54*30*'Исходные данные'!$D$54+I18*'Исходные данные'!$I$54+'Исходные данные'!$G$54*'Исходные данные'!$H$54*30*'Обобщенный расчет'!$D$3</f>
        <v>57000</v>
      </c>
      <c r="J64" s="184">
        <f>J18*'Исходные данные'!$F$54+'Исходные данные'!$E$54*30*'Исходные данные'!$D$54+J18*'Исходные данные'!$I$54+'Исходные данные'!$G$54*'Исходные данные'!$H$54*30*'Обобщенный расчет'!$D$3</f>
        <v>57000</v>
      </c>
      <c r="K64" s="184">
        <f>K18*'Исходные данные'!$F$54+'Исходные данные'!$E$54*30*'Исходные данные'!$D$54+K18*'Исходные данные'!$I$54+'Исходные данные'!$G$54*'Исходные данные'!$H$54*30*'Обобщенный расчет'!$D$3</f>
        <v>57000</v>
      </c>
      <c r="L64" s="184">
        <f>L18*'Исходные данные'!$F$54+'Исходные данные'!$E$54*30*'Исходные данные'!$D$54+L18*'Исходные данные'!$I$54+'Исходные данные'!$G$54*'Исходные данные'!$H$54*30*'Обобщенный расчет'!$D$3</f>
        <v>57000</v>
      </c>
      <c r="M64" s="184">
        <f>M18*'Исходные данные'!$F$54+'Исходные данные'!$E$54*30*'Исходные данные'!$D$54+M18*'Исходные данные'!$I$54+'Исходные данные'!$G$54*'Исходные данные'!$H$54*30*'Обобщенный расчет'!$D$3</f>
        <v>57000</v>
      </c>
      <c r="N64" s="184">
        <f>N18*'Исходные данные'!$F$54+'Исходные данные'!$E$54*30*'Исходные данные'!$D$54+N18*'Исходные данные'!$I$54+'Исходные данные'!$G$54*'Исходные данные'!$H$54*30*'Обобщенный расчет'!$D$3</f>
        <v>57000</v>
      </c>
      <c r="O64" s="185"/>
      <c r="P64" s="185"/>
      <c r="Q64" s="184">
        <f>Q18*'Исходные данные'!$F$54+'Исходные данные'!$E$54*30*'Исходные данные'!$D$54+Q18*'Исходные данные'!$I$54+'Исходные данные'!$G$54*'Исходные данные'!$H$54*30*'Обобщенный расчет'!$D$3</f>
        <v>57000</v>
      </c>
      <c r="R64" s="184">
        <f>R18*'Исходные данные'!$F$54+'Исходные данные'!$E$54*30*'Исходные данные'!$D$54+R18*'Исходные данные'!$I$54+'Исходные данные'!$G$54*'Исходные данные'!$H$54*30*'Обобщенный расчет'!$D$3</f>
        <v>57000</v>
      </c>
      <c r="S64" s="184">
        <f>S18*'Исходные данные'!$F$54+'Исходные данные'!$E$54*30*'Исходные данные'!$D$54+S18*'Исходные данные'!$I$54+'Исходные данные'!$G$54*'Исходные данные'!$H$54*30*'Обобщенный расчет'!$D$3</f>
        <v>57000</v>
      </c>
      <c r="T64" s="184">
        <f>T18*'Исходные данные'!$F$54+'Исходные данные'!$E$54*30*'Исходные данные'!$D$54+T18*'Исходные данные'!$I$54+'Исходные данные'!$G$54*'Исходные данные'!$H$54*30*'Обобщенный расчет'!$D$3</f>
        <v>57000</v>
      </c>
      <c r="U64" s="184">
        <f>U18*'Исходные данные'!$F$54+'Исходные данные'!$E$54*30*'Исходные данные'!$D$54+U18*'Исходные данные'!$I$54+'Исходные данные'!$G$54*'Исходные данные'!$H$54*30*'Обобщенный расчет'!$D$3</f>
        <v>57000</v>
      </c>
      <c r="V64" s="184">
        <f>V18*'Исходные данные'!$F$54+'Исходные данные'!$E$54*30*'Исходные данные'!$D$54+V18*'Исходные данные'!$I$54+'Исходные данные'!$G$54*'Исходные данные'!$H$54*30*'Обобщенный расчет'!$D$3</f>
        <v>57000</v>
      </c>
      <c r="W64" s="184">
        <f>W18*'Исходные данные'!$F$54+'Исходные данные'!$E$54*30*'Исходные данные'!$D$54+W18*'Исходные данные'!$I$54+'Исходные данные'!$G$54*'Исходные данные'!$H$54*30*'Обобщенный расчет'!$D$3</f>
        <v>57000</v>
      </c>
      <c r="X64" s="184">
        <f>X18*'Исходные данные'!$F$54+'Исходные данные'!$E$54*30*'Исходные данные'!$D$54+X18*'Исходные данные'!$I$54+'Исходные данные'!$G$54*'Исходные данные'!$H$54*30*'Обобщенный расчет'!$D$3</f>
        <v>57000</v>
      </c>
      <c r="Y64" s="184">
        <f>Y18*'Исходные данные'!$F$54+'Исходные данные'!$E$54*30*'Исходные данные'!$D$54+Y18*'Исходные данные'!$I$54+'Исходные данные'!$G$54*'Исходные данные'!$H$54*30*'Обобщенный расчет'!$D$3</f>
        <v>57000</v>
      </c>
      <c r="Z64" s="184">
        <f>Z18*'Исходные данные'!$F$54+'Исходные данные'!$E$54*30*'Исходные данные'!$D$54+Z18*'Исходные данные'!$I$54+'Исходные данные'!$G$54*'Исходные данные'!$H$54*30*'Обобщенный расчет'!$D$3</f>
        <v>57000</v>
      </c>
      <c r="AA64" s="184">
        <f>AA18*'Исходные данные'!$F$54+'Исходные данные'!$E$54*30*'Исходные данные'!$D$54+AA18*'Исходные данные'!$I$54+'Исходные данные'!$G$54*'Исходные данные'!$H$54*30*'Обобщенный расчет'!$D$3</f>
        <v>57000</v>
      </c>
      <c r="AB64" s="184">
        <f>AB18*'Исходные данные'!$F$54+'Исходные данные'!$E$54*30*'Исходные данные'!$D$54+AB18*'Исходные данные'!$I$54+'Исходные данные'!$G$54*'Исходные данные'!$H$54*30*'Обобщенный расчет'!$D$3</f>
        <v>57000</v>
      </c>
      <c r="AC64" s="185"/>
      <c r="AD64" s="185"/>
      <c r="AE64" s="184">
        <f>AE18*'Исходные данные'!$F$54+'Исходные данные'!$E$54*30*'Исходные данные'!$D$54+AE18*'Исходные данные'!$I$54+'Исходные данные'!$G$54*'Исходные данные'!$H$54*30*'Обобщенный расчет'!$D$3</f>
        <v>57000</v>
      </c>
      <c r="AF64" s="184">
        <f>AF18*'Исходные данные'!$F$54+'Исходные данные'!$E$54*30*'Исходные данные'!$D$54+AF18*'Исходные данные'!$I$54+'Исходные данные'!$G$54*'Исходные данные'!$H$54*30*'Обобщенный расчет'!$D$3</f>
        <v>57000</v>
      </c>
      <c r="AG64" s="184">
        <f>AG18*'Исходные данные'!$F$54+'Исходные данные'!$E$54*30*'Исходные данные'!$D$54+AG18*'Исходные данные'!$I$54+'Исходные данные'!$G$54*'Исходные данные'!$H$54*30*'Обобщенный расчет'!$D$3</f>
        <v>57000</v>
      </c>
      <c r="AH64" s="184">
        <f>AH18*'Исходные данные'!$F$54+'Исходные данные'!$E$54*30*'Исходные данные'!$D$54+AH18*'Исходные данные'!$I$54+'Исходные данные'!$G$54*'Исходные данные'!$H$54*30*'Обобщенный расчет'!$D$3</f>
        <v>57000</v>
      </c>
      <c r="AI64" s="184">
        <f>AI18*'Исходные данные'!$F$54+'Исходные данные'!$E$54*30*'Исходные данные'!$D$54+AI18*'Исходные данные'!$I$54+'Исходные данные'!$G$54*'Исходные данные'!$H$54*30*'Обобщенный расчет'!$D$3</f>
        <v>57000</v>
      </c>
      <c r="AJ64" s="184">
        <f>AJ18*'Исходные данные'!$F$54+'Исходные данные'!$E$54*30*'Исходные данные'!$D$54+AJ18*'Исходные данные'!$I$54+'Исходные данные'!$G$54*'Исходные данные'!$H$54*30*'Обобщенный расчет'!$D$3</f>
        <v>57000</v>
      </c>
      <c r="AK64" s="184">
        <f>AK18*'Исходные данные'!$F$54+'Исходные данные'!$E$54*30*'Исходные данные'!$D$54+AK18*'Исходные данные'!$I$54+'Исходные данные'!$G$54*'Исходные данные'!$H$54*30*'Обобщенный расчет'!$D$3</f>
        <v>57000</v>
      </c>
      <c r="AL64" s="184">
        <f>AL18*'Исходные данные'!$F$54+'Исходные данные'!$E$54*30*'Исходные данные'!$D$54+AL18*'Исходные данные'!$I$54+'Исходные данные'!$G$54*'Исходные данные'!$H$54*30*'Обобщенный расчет'!$D$3</f>
        <v>57000</v>
      </c>
      <c r="AM64" s="184">
        <f>AM18*'Исходные данные'!$F$54+'Исходные данные'!$E$54*30*'Исходные данные'!$D$54+AM18*'Исходные данные'!$I$54+'Исходные данные'!$G$54*'Исходные данные'!$H$54*30*'Обобщенный расчет'!$D$3</f>
        <v>57000</v>
      </c>
      <c r="AN64" s="184">
        <f>AN18*'Исходные данные'!$F$54+'Исходные данные'!$E$54*30*'Исходные данные'!$D$54+AN18*'Исходные данные'!$I$54+'Исходные данные'!$G$54*'Исходные данные'!$H$54*30*'Обобщенный расчет'!$D$3</f>
        <v>57000</v>
      </c>
      <c r="AO64" s="184">
        <f>AO18*'Исходные данные'!$F$54+'Исходные данные'!$E$54*30*'Исходные данные'!$D$54+AO18*'Исходные данные'!$I$54+'Исходные данные'!$G$54*'Исходные данные'!$H$54*30*'Обобщенный расчет'!$D$3</f>
        <v>57000</v>
      </c>
      <c r="AP64" s="184">
        <f>AP18*'Исходные данные'!$F$54+'Исходные данные'!$E$54*30*'Исходные данные'!$D$54+AP18*'Исходные данные'!$I$54+'Исходные данные'!$G$54*'Исходные данные'!$H$54*30*'Обобщенный расчет'!$D$3</f>
        <v>57000</v>
      </c>
      <c r="AQ64" s="185"/>
      <c r="AR64" s="185"/>
      <c r="AS64" s="184"/>
    </row>
    <row r="65" spans="1:46" s="186" customFormat="1" ht="11" hidden="1" x14ac:dyDescent="0.15">
      <c r="A65" s="182" t="str">
        <f>'Обобщенный расчет'!N3</f>
        <v>Бизнес под ключ</v>
      </c>
      <c r="B65" s="183"/>
      <c r="C65" s="184">
        <f>C18*'Исходные данные'!$F55+'Исходные данные'!$E55*30*'Исходные данные'!$D55+C18*'Исходные данные'!$I55+'Исходные данные'!$G55*'Исходные данные'!$H55*30*'Обобщенный расчет'!$D$3</f>
        <v>66750</v>
      </c>
      <c r="D65" s="184">
        <f>D18*'Исходные данные'!$F55+'Исходные данные'!$E55*30*'Исходные данные'!$D55+D18*'Исходные данные'!$I55+'Исходные данные'!$G55*'Исходные данные'!$H55*30*'Обобщенный расчет'!$D$3</f>
        <v>70500</v>
      </c>
      <c r="E65" s="184">
        <f>E18*'Исходные данные'!$F55+'Исходные данные'!$E55*30*'Исходные данные'!$D55+E18*'Исходные данные'!$I55+'Исходные данные'!$G55*'Исходные данные'!$H55*30*'Обобщенный расчет'!$D$3</f>
        <v>75000</v>
      </c>
      <c r="F65" s="184">
        <f>F18*'Исходные данные'!$F55+'Исходные данные'!$E55*30*'Исходные данные'!$D55+F18*'Исходные данные'!$I55+'Исходные данные'!$G55*'Исходные данные'!$H55*30*'Обобщенный расчет'!$D$3</f>
        <v>78000</v>
      </c>
      <c r="G65" s="184">
        <f>G18*'Исходные данные'!$F55+'Исходные данные'!$E55*30*'Исходные данные'!$D55+G18*'Исходные данные'!$I55+'Исходные данные'!$G55*'Исходные данные'!$H55*30*'Обобщенный расчет'!$D$3</f>
        <v>78000</v>
      </c>
      <c r="H65" s="184">
        <f>H18*'Исходные данные'!$F55+'Исходные данные'!$E55*30*'Исходные данные'!$D55+H18*'Исходные данные'!$I55+'Исходные данные'!$G55*'Исходные данные'!$H55*30*'Обобщенный расчет'!$D$3</f>
        <v>78000</v>
      </c>
      <c r="I65" s="184">
        <f>I18*'Исходные данные'!$F55+'Исходные данные'!$E55*30*'Исходные данные'!$D55+I18*'Исходные данные'!$I55+'Исходные данные'!$G55*'Исходные данные'!$H55*30*'Обобщенный расчет'!$D$3</f>
        <v>78000</v>
      </c>
      <c r="J65" s="184">
        <f>J18*'Исходные данные'!$F55+'Исходные данные'!$E55*30*'Исходные данные'!$D55+J18*'Исходные данные'!$I55+'Исходные данные'!$G55*'Исходные данные'!$H55*30*'Обобщенный расчет'!$D$3</f>
        <v>78000</v>
      </c>
      <c r="K65" s="184">
        <f>K18*'Исходные данные'!$F55+'Исходные данные'!$E55*30*'Исходные данные'!$D55+K18*'Исходные данные'!$I55+'Исходные данные'!$G55*'Исходные данные'!$H55*30*'Обобщенный расчет'!$D$3</f>
        <v>78000</v>
      </c>
      <c r="L65" s="184">
        <f>L18*'Исходные данные'!$F55+'Исходные данные'!$E55*30*'Исходные данные'!$D55+L18*'Исходные данные'!$I55+'Исходные данные'!$G55*'Исходные данные'!$H55*30*'Обобщенный расчет'!$D$3</f>
        <v>78000</v>
      </c>
      <c r="M65" s="184">
        <f>M18*'Исходные данные'!$F55+'Исходные данные'!$E55*30*'Исходные данные'!$D55+M18*'Исходные данные'!$I55+'Исходные данные'!$G55*'Исходные данные'!$H55*30*'Обобщенный расчет'!$D$3</f>
        <v>78000</v>
      </c>
      <c r="N65" s="184">
        <f>N18*'Исходные данные'!$F55+'Исходные данные'!$E55*30*'Исходные данные'!$D55+N18*'Исходные данные'!$I55+'Исходные данные'!$G55*'Исходные данные'!$H55*30*'Обобщенный расчет'!$D$3</f>
        <v>78000</v>
      </c>
      <c r="O65" s="185"/>
      <c r="P65" s="185"/>
      <c r="Q65" s="184">
        <f>Q18*'Исходные данные'!$F55+'Исходные данные'!$E55*30*'Исходные данные'!$D55+Q18*'Исходные данные'!$I55+'Исходные данные'!$G55*'Исходные данные'!$H55*30*'Обобщенный расчет'!$D$3</f>
        <v>78000</v>
      </c>
      <c r="R65" s="184">
        <f>R18*'Исходные данные'!$F55+'Исходные данные'!$E55*30*'Исходные данные'!$D55+R18*'Исходные данные'!$I55+'Исходные данные'!$G55*'Исходные данные'!$H55*30*'Обобщенный расчет'!$D$3</f>
        <v>78000</v>
      </c>
      <c r="S65" s="184">
        <f>S18*'Исходные данные'!$F55+'Исходные данные'!$E55*30*'Исходные данные'!$D55+S18*'Исходные данные'!$I55+'Исходные данные'!$G55*'Исходные данные'!$H55*30*'Обобщенный расчет'!$D$3</f>
        <v>78000</v>
      </c>
      <c r="T65" s="184">
        <f>T18*'Исходные данные'!$F55+'Исходные данные'!$E55*30*'Исходные данные'!$D55+T18*'Исходные данные'!$I55+'Исходные данные'!$G55*'Исходные данные'!$H55*30*'Обобщенный расчет'!$D$3</f>
        <v>78000</v>
      </c>
      <c r="U65" s="184">
        <f>U18*'Исходные данные'!$F55+'Исходные данные'!$E55*30*'Исходные данные'!$D55+U18*'Исходные данные'!$I55+'Исходные данные'!$G55*'Исходные данные'!$H55*30*'Обобщенный расчет'!$D$3</f>
        <v>78000</v>
      </c>
      <c r="V65" s="184">
        <f>V18*'Исходные данные'!$F55+'Исходные данные'!$E55*30*'Исходные данные'!$D55+V18*'Исходные данные'!$I55+'Исходные данные'!$G55*'Исходные данные'!$H55*30*'Обобщенный расчет'!$D$3</f>
        <v>78000</v>
      </c>
      <c r="W65" s="184">
        <f>W18*'Исходные данные'!$F55+'Исходные данные'!$E55*30*'Исходные данные'!$D55+W18*'Исходные данные'!$I55+'Исходные данные'!$G55*'Исходные данные'!$H55*30*'Обобщенный расчет'!$D$3</f>
        <v>78000</v>
      </c>
      <c r="X65" s="184">
        <f>X18*'Исходные данные'!$F55+'Исходные данные'!$E55*30*'Исходные данные'!$D55+X18*'Исходные данные'!$I55+'Исходные данные'!$G55*'Исходные данные'!$H55*30*'Обобщенный расчет'!$D$3</f>
        <v>78000</v>
      </c>
      <c r="Y65" s="184">
        <f>Y18*'Исходные данные'!$F55+'Исходные данные'!$E55*30*'Исходные данные'!$D55+Y18*'Исходные данные'!$I55+'Исходные данные'!$G55*'Исходные данные'!$H55*30*'Обобщенный расчет'!$D$3</f>
        <v>78000</v>
      </c>
      <c r="Z65" s="184">
        <f>Z18*'Исходные данные'!$F55+'Исходные данные'!$E55*30*'Исходные данные'!$D55+Z18*'Исходные данные'!$I55+'Исходные данные'!$G55*'Исходные данные'!$H55*30*'Обобщенный расчет'!$D$3</f>
        <v>78000</v>
      </c>
      <c r="AA65" s="184">
        <f>AA18*'Исходные данные'!$F55+'Исходные данные'!$E55*30*'Исходные данные'!$D55+AA18*'Исходные данные'!$I55+'Исходные данные'!$G55*'Исходные данные'!$H55*30*'Обобщенный расчет'!$D$3</f>
        <v>78000</v>
      </c>
      <c r="AB65" s="184">
        <f>AB18*'Исходные данные'!$F55+'Исходные данные'!$E55*30*'Исходные данные'!$D55+AB18*'Исходные данные'!$I55+'Исходные данные'!$G55*'Исходные данные'!$H55*30*'Обобщенный расчет'!$D$3</f>
        <v>78000</v>
      </c>
      <c r="AC65" s="185"/>
      <c r="AD65" s="185"/>
      <c r="AE65" s="184">
        <f>AE18*'Исходные данные'!$F55+'Исходные данные'!$E55*30*'Исходные данные'!$D55+AE18*'Исходные данные'!$I55+'Исходные данные'!$G55*'Исходные данные'!$H55*30*'Обобщенный расчет'!$D$3</f>
        <v>78000</v>
      </c>
      <c r="AF65" s="184">
        <f>AF18*'Исходные данные'!$F55+'Исходные данные'!$E55*30*'Исходные данные'!$D55+AF18*'Исходные данные'!$I55+'Исходные данные'!$G55*'Исходные данные'!$H55*30*'Обобщенный расчет'!$D$3</f>
        <v>78000</v>
      </c>
      <c r="AG65" s="184">
        <f>AG18*'Исходные данные'!$F55+'Исходные данные'!$E55*30*'Исходные данные'!$D55+AG18*'Исходные данные'!$I55+'Исходные данные'!$G55*'Исходные данные'!$H55*30*'Обобщенный расчет'!$D$3</f>
        <v>78000</v>
      </c>
      <c r="AH65" s="184">
        <f>AH18*'Исходные данные'!$F55+'Исходные данные'!$E55*30*'Исходные данные'!$D55+AH18*'Исходные данные'!$I55+'Исходные данные'!$G55*'Исходные данные'!$H55*30*'Обобщенный расчет'!$D$3</f>
        <v>78000</v>
      </c>
      <c r="AI65" s="184">
        <f>AI18*'Исходные данные'!$F55+'Исходные данные'!$E55*30*'Исходные данные'!$D55+AI18*'Исходные данные'!$I55+'Исходные данные'!$G55*'Исходные данные'!$H55*30*'Обобщенный расчет'!$D$3</f>
        <v>78000</v>
      </c>
      <c r="AJ65" s="184">
        <f>AJ18*'Исходные данные'!$F55+'Исходные данные'!$E55*30*'Исходные данные'!$D55+AJ18*'Исходные данные'!$I55+'Исходные данные'!$G55*'Исходные данные'!$H55*30*'Обобщенный расчет'!$D$3</f>
        <v>78000</v>
      </c>
      <c r="AK65" s="184">
        <f>AK18*'Исходные данные'!$F55+'Исходные данные'!$E55*30*'Исходные данные'!$D55+AK18*'Исходные данные'!$I55+'Исходные данные'!$G55*'Исходные данные'!$H55*30*'Обобщенный расчет'!$D$3</f>
        <v>78000</v>
      </c>
      <c r="AL65" s="184">
        <f>AL18*'Исходные данные'!$F55+'Исходные данные'!$E55*30*'Исходные данные'!$D55+AL18*'Исходные данные'!$I55+'Исходные данные'!$G55*'Исходные данные'!$H55*30*'Обобщенный расчет'!$D$3</f>
        <v>78000</v>
      </c>
      <c r="AM65" s="184">
        <f>AM18*'Исходные данные'!$F55+'Исходные данные'!$E55*30*'Исходные данные'!$D55+AM18*'Исходные данные'!$I55+'Исходные данные'!$G55*'Исходные данные'!$H55*30*'Обобщенный расчет'!$D$3</f>
        <v>78000</v>
      </c>
      <c r="AN65" s="184">
        <f>AN18*'Исходные данные'!$F55+'Исходные данные'!$E55*30*'Исходные данные'!$D55+AN18*'Исходные данные'!$I55+'Исходные данные'!$G55*'Исходные данные'!$H55*30*'Обобщенный расчет'!$D$3</f>
        <v>78000</v>
      </c>
      <c r="AO65" s="184">
        <f>AO18*'Исходные данные'!$F55+'Исходные данные'!$E55*30*'Исходные данные'!$D55+AO18*'Исходные данные'!$I55+'Исходные данные'!$G55*'Исходные данные'!$H55*30*'Обобщенный расчет'!$D$3</f>
        <v>78000</v>
      </c>
      <c r="AP65" s="184">
        <f>AP18*'Исходные данные'!$F55+'Исходные данные'!$E55*30*'Исходные данные'!$D55+AP18*'Исходные данные'!$I55+'Исходные данные'!$G55*'Исходные данные'!$H55*30*'Обобщенный расчет'!$D$3</f>
        <v>78000</v>
      </c>
      <c r="AQ65" s="185"/>
      <c r="AR65" s="185"/>
      <c r="AS65" s="184"/>
    </row>
    <row r="66" spans="1:46" s="186" customFormat="1" ht="11" hidden="1" x14ac:dyDescent="0.15">
      <c r="A66" s="182"/>
      <c r="B66" s="183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5"/>
      <c r="P66" s="185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5"/>
      <c r="AD66" s="185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5"/>
      <c r="AR66" s="185"/>
      <c r="AS66" s="184"/>
    </row>
    <row r="67" spans="1:46" s="186" customFormat="1" ht="11" hidden="1" x14ac:dyDescent="0.15">
      <c r="A67" s="182" t="s">
        <v>157</v>
      </c>
      <c r="B67" s="183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5"/>
      <c r="P67" s="185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5"/>
      <c r="AD67" s="185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5"/>
      <c r="AR67" s="185"/>
      <c r="AS67" s="184"/>
    </row>
    <row r="68" spans="1:46" s="186" customFormat="1" ht="11" hidden="1" x14ac:dyDescent="0.15">
      <c r="A68" s="182" t="s">
        <v>78</v>
      </c>
      <c r="B68" s="183"/>
      <c r="C68" s="184">
        <f>IF(C37*'Исходные данные'!$D$59&lt;'Исходные данные'!$D$60,'Исходные данные'!$D$60,C37*'Исходные данные'!$D$59)</f>
        <v>10000</v>
      </c>
      <c r="D68" s="184">
        <f>IF(D37*'Исходные данные'!$D$59&lt;'Исходные данные'!$D$60,'Исходные данные'!$D$60,D37*'Исходные данные'!$D$59)</f>
        <v>10000</v>
      </c>
      <c r="E68" s="184">
        <f>IF(E37*'Исходные данные'!$D$59&lt;'Исходные данные'!$D$60,'Исходные данные'!$D$60,E37*'Исходные данные'!$D$59)</f>
        <v>10000</v>
      </c>
      <c r="F68" s="184">
        <f>IF(F37*'Исходные данные'!$D$59&lt;'Исходные данные'!$D$60,'Исходные данные'!$D$60,F37*'Исходные данные'!$D$59)</f>
        <v>10000</v>
      </c>
      <c r="G68" s="184">
        <f>IF(G37*'Исходные данные'!$D$59&lt;'Исходные данные'!$D$60,'Исходные данные'!$D$60,G37*'Исходные данные'!$D$59)</f>
        <v>10000</v>
      </c>
      <c r="H68" s="184">
        <f>IF(H37*'Исходные данные'!$D$59&lt;'Исходные данные'!$D$60,'Исходные данные'!$D$60,H37*'Исходные данные'!$D$59)</f>
        <v>10000</v>
      </c>
      <c r="I68" s="184">
        <f>IF(I37*'Исходные данные'!$D$59&lt;'Исходные данные'!$D$60,'Исходные данные'!$D$60,I37*'Исходные данные'!$D$59)</f>
        <v>10000</v>
      </c>
      <c r="J68" s="184">
        <f>IF(J37*'Исходные данные'!$D$59&lt;'Исходные данные'!$D$60,'Исходные данные'!$D$60,J37*'Исходные данные'!$D$59)</f>
        <v>10000</v>
      </c>
      <c r="K68" s="184">
        <f>IF(K37*'Исходные данные'!$D$59&lt;'Исходные данные'!$D$60,'Исходные данные'!$D$60,K37*'Исходные данные'!$D$59)</f>
        <v>10000</v>
      </c>
      <c r="L68" s="184">
        <f>IF(L37*'Исходные данные'!$D$59&lt;'Исходные данные'!$D$60,'Исходные данные'!$D$60,L37*'Исходные данные'!$D$59)</f>
        <v>10000</v>
      </c>
      <c r="M68" s="184">
        <f>IF(M37*'Исходные данные'!$D$59&lt;'Исходные данные'!$D$60,'Исходные данные'!$D$60,M37*'Исходные данные'!$D$59)</f>
        <v>10000</v>
      </c>
      <c r="N68" s="184">
        <f>IF(N37*'Исходные данные'!$D$59&lt;'Исходные данные'!$D$60,'Исходные данные'!$D$60,N37*'Исходные данные'!$D$59)</f>
        <v>10000</v>
      </c>
      <c r="O68" s="185"/>
      <c r="P68" s="185"/>
      <c r="Q68" s="184">
        <f>IF(Q37*'Исходные данные'!$D$59&lt;'Исходные данные'!$D$60,'Исходные данные'!$D$60,Q37*'Исходные данные'!$D$59)</f>
        <v>10000</v>
      </c>
      <c r="R68" s="184">
        <f>IF(R37*'Исходные данные'!$D$59&lt;'Исходные данные'!$D$60,'Исходные данные'!$D$60,R37*'Исходные данные'!$D$59)</f>
        <v>10000</v>
      </c>
      <c r="S68" s="184">
        <f>IF(S37*'Исходные данные'!$D$59&lt;'Исходные данные'!$D$60,'Исходные данные'!$D$60,S37*'Исходные данные'!$D$59)</f>
        <v>10000</v>
      </c>
      <c r="T68" s="184">
        <f>IF(T37*'Исходные данные'!$D$59&lt;'Исходные данные'!$D$60,'Исходные данные'!$D$60,T37*'Исходные данные'!$D$59)</f>
        <v>10000</v>
      </c>
      <c r="U68" s="184">
        <f>IF(U37*'Исходные данные'!$D$59&lt;'Исходные данные'!$D$60,'Исходные данные'!$D$60,U37*'Исходные данные'!$D$59)</f>
        <v>10000</v>
      </c>
      <c r="V68" s="184">
        <f>IF(V37*'Исходные данные'!$D$59&lt;'Исходные данные'!$D$60,'Исходные данные'!$D$60,V37*'Исходные данные'!$D$59)</f>
        <v>10000</v>
      </c>
      <c r="W68" s="184">
        <f>IF(W37*'Исходные данные'!$D$59&lt;'Исходные данные'!$D$60,'Исходные данные'!$D$60,W37*'Исходные данные'!$D$59)</f>
        <v>10000</v>
      </c>
      <c r="X68" s="184">
        <f>IF(X37*'Исходные данные'!$D$59&lt;'Исходные данные'!$D$60,'Исходные данные'!$D$60,X37*'Исходные данные'!$D$59)</f>
        <v>10000</v>
      </c>
      <c r="Y68" s="184">
        <f>IF(Y37*'Исходные данные'!$D$59&lt;'Исходные данные'!$D$60,'Исходные данные'!$D$60,Y37*'Исходные данные'!$D$59)</f>
        <v>10000</v>
      </c>
      <c r="Z68" s="184">
        <f>IF(Z37*'Исходные данные'!$D$59&lt;'Исходные данные'!$D$60,'Исходные данные'!$D$60,Z37*'Исходные данные'!$D$59)</f>
        <v>10000</v>
      </c>
      <c r="AA68" s="184">
        <f>IF(AA37*'Исходные данные'!$D$59&lt;'Исходные данные'!$D$60,'Исходные данные'!$D$60,AA37*'Исходные данные'!$D$59)</f>
        <v>10000</v>
      </c>
      <c r="AB68" s="184">
        <f>IF(AB37*'Исходные данные'!$D$59&lt;'Исходные данные'!$D$60,'Исходные данные'!$D$60,AB37*'Исходные данные'!$D$59)</f>
        <v>10000</v>
      </c>
      <c r="AC68" s="185"/>
      <c r="AD68" s="185"/>
      <c r="AE68" s="184">
        <f>IF(AE37*'Исходные данные'!$D$59&lt;'Исходные данные'!$D$60,'Исходные данные'!$D$60,AE37*'Исходные данные'!$D$59)</f>
        <v>10000</v>
      </c>
      <c r="AF68" s="184">
        <f>IF(AF37*'Исходные данные'!$D$59&lt;'Исходные данные'!$D$60,'Исходные данные'!$D$60,AF37*'Исходные данные'!$D$59)</f>
        <v>10000</v>
      </c>
      <c r="AG68" s="184">
        <f>IF(AG37*'Исходные данные'!$D$59&lt;'Исходные данные'!$D$60,'Исходные данные'!$D$60,AG37*'Исходные данные'!$D$59)</f>
        <v>10000</v>
      </c>
      <c r="AH68" s="184">
        <f>IF(AH37*'Исходные данные'!$D$59&lt;'Исходные данные'!$D$60,'Исходные данные'!$D$60,AH37*'Исходные данные'!$D$59)</f>
        <v>10000</v>
      </c>
      <c r="AI68" s="184">
        <f>IF(AI37*'Исходные данные'!$D$59&lt;'Исходные данные'!$D$60,'Исходные данные'!$D$60,AI37*'Исходные данные'!$D$59)</f>
        <v>10000</v>
      </c>
      <c r="AJ68" s="184">
        <f>IF(AJ37*'Исходные данные'!$D$59&lt;'Исходные данные'!$D$60,'Исходные данные'!$D$60,AJ37*'Исходные данные'!$D$59)</f>
        <v>10000</v>
      </c>
      <c r="AK68" s="184">
        <f>IF(AK37*'Исходные данные'!$D$59&lt;'Исходные данные'!$D$60,'Исходные данные'!$D$60,AK37*'Исходные данные'!$D$59)</f>
        <v>10000</v>
      </c>
      <c r="AL68" s="184">
        <f>IF(AL37*'Исходные данные'!$D$59&lt;'Исходные данные'!$D$60,'Исходные данные'!$D$60,AL37*'Исходные данные'!$D$59)</f>
        <v>10000</v>
      </c>
      <c r="AM68" s="184">
        <f>IF(AM37*'Исходные данные'!$D$59&lt;'Исходные данные'!$D$60,'Исходные данные'!$D$60,AM37*'Исходные данные'!$D$59)</f>
        <v>10000</v>
      </c>
      <c r="AN68" s="184">
        <f>IF(AN37*'Исходные данные'!$D$59&lt;'Исходные данные'!$D$60,'Исходные данные'!$D$60,AN37*'Исходные данные'!$D$59)</f>
        <v>10000</v>
      </c>
      <c r="AO68" s="184">
        <f>IF(AO37*'Исходные данные'!$D$59&lt;'Исходные данные'!$D$60,'Исходные данные'!$D$60,AO37*'Исходные данные'!$D$59)</f>
        <v>10000</v>
      </c>
      <c r="AP68" s="184">
        <f>IF(AP37*'Исходные данные'!$D$59&lt;'Исходные данные'!$D$60,'Исходные данные'!$D$60,AP37*'Исходные данные'!$D$59)</f>
        <v>10000</v>
      </c>
      <c r="AQ68" s="185"/>
      <c r="AR68" s="185"/>
      <c r="AS68" s="184"/>
    </row>
    <row r="69" spans="1:46" s="186" customFormat="1" ht="11" hidden="1" x14ac:dyDescent="0.15">
      <c r="A69" s="182" t="s">
        <v>79</v>
      </c>
      <c r="B69" s="183"/>
      <c r="C69" s="184">
        <f>C37*'Исходные данные'!$F$62</f>
        <v>0</v>
      </c>
      <c r="D69" s="184">
        <f>D37*'Исходные данные'!$F$62</f>
        <v>0</v>
      </c>
      <c r="E69" s="184">
        <f>E37*'Исходные данные'!$F$62</f>
        <v>0</v>
      </c>
      <c r="F69" s="184">
        <f>F37*'Исходные данные'!$F$62</f>
        <v>0</v>
      </c>
      <c r="G69" s="184">
        <f>G37*'Исходные данные'!$F$62</f>
        <v>0</v>
      </c>
      <c r="H69" s="184">
        <f>H37*'Исходные данные'!$F$62</f>
        <v>0</v>
      </c>
      <c r="I69" s="184">
        <f>I37*'Исходные данные'!$F$62</f>
        <v>0</v>
      </c>
      <c r="J69" s="184">
        <f>J37*'Исходные данные'!$F$62</f>
        <v>0</v>
      </c>
      <c r="K69" s="184">
        <f>K37*'Исходные данные'!$F$62</f>
        <v>0</v>
      </c>
      <c r="L69" s="184">
        <f>L37*'Исходные данные'!$F$62</f>
        <v>0</v>
      </c>
      <c r="M69" s="184">
        <f>M37*'Исходные данные'!$F$62</f>
        <v>0</v>
      </c>
      <c r="N69" s="184">
        <f>N37*'Исходные данные'!$F$62</f>
        <v>0</v>
      </c>
      <c r="O69" s="185"/>
      <c r="P69" s="185"/>
      <c r="Q69" s="184">
        <f>Q37*'Исходные данные'!$F$62</f>
        <v>0</v>
      </c>
      <c r="R69" s="184">
        <f>R37*'Исходные данные'!$F$62</f>
        <v>0</v>
      </c>
      <c r="S69" s="184">
        <f>S37*'Исходные данные'!$F$62</f>
        <v>0</v>
      </c>
      <c r="T69" s="184">
        <f>T37*'Исходные данные'!$F$62</f>
        <v>0</v>
      </c>
      <c r="U69" s="184">
        <f>U37*'Исходные данные'!$F$62</f>
        <v>0</v>
      </c>
      <c r="V69" s="184">
        <f>V37*'Исходные данные'!$F$62</f>
        <v>0</v>
      </c>
      <c r="W69" s="184">
        <f>W37*'Исходные данные'!$F$62</f>
        <v>0</v>
      </c>
      <c r="X69" s="184">
        <f>X37*'Исходные данные'!$F$62</f>
        <v>0</v>
      </c>
      <c r="Y69" s="184">
        <f>Y37*'Исходные данные'!$F$62</f>
        <v>0</v>
      </c>
      <c r="Z69" s="184">
        <f>Z37*'Исходные данные'!$F$62</f>
        <v>0</v>
      </c>
      <c r="AA69" s="184">
        <f>AA37*'Исходные данные'!$F$62</f>
        <v>0</v>
      </c>
      <c r="AB69" s="184">
        <f>AB37*'Исходные данные'!$F$62</f>
        <v>0</v>
      </c>
      <c r="AC69" s="185"/>
      <c r="AD69" s="185"/>
      <c r="AE69" s="184">
        <f>AE37*'Исходные данные'!$F$62</f>
        <v>0</v>
      </c>
      <c r="AF69" s="184">
        <f>AF37*'Исходные данные'!$F$62</f>
        <v>0</v>
      </c>
      <c r="AG69" s="184">
        <f>AG37*'Исходные данные'!$F$62</f>
        <v>0</v>
      </c>
      <c r="AH69" s="184">
        <f>AH37*'Исходные данные'!$F$62</f>
        <v>0</v>
      </c>
      <c r="AI69" s="184">
        <f>AI37*'Исходные данные'!$F$62</f>
        <v>0</v>
      </c>
      <c r="AJ69" s="184">
        <f>AJ37*'Исходные данные'!$F$62</f>
        <v>0</v>
      </c>
      <c r="AK69" s="184">
        <f>AK37*'Исходные данные'!$F$62</f>
        <v>0</v>
      </c>
      <c r="AL69" s="184">
        <f>AL37*'Исходные данные'!$F$62</f>
        <v>0</v>
      </c>
      <c r="AM69" s="184">
        <f>AM37*'Исходные данные'!$F$62</f>
        <v>0</v>
      </c>
      <c r="AN69" s="184">
        <f>AN37*'Исходные данные'!$F$62</f>
        <v>0</v>
      </c>
      <c r="AO69" s="184">
        <f>AO37*'Исходные данные'!$F$62</f>
        <v>0</v>
      </c>
      <c r="AP69" s="184">
        <f>AP37*'Исходные данные'!$F$62</f>
        <v>0</v>
      </c>
      <c r="AQ69" s="185"/>
      <c r="AR69" s="185"/>
      <c r="AS69" s="184"/>
    </row>
    <row r="70" spans="1:46" s="186" customFormat="1" ht="11" hidden="1" x14ac:dyDescent="0.15">
      <c r="A70" s="182" t="s">
        <v>80</v>
      </c>
      <c r="B70" s="183"/>
      <c r="C70" s="184">
        <f>IF(C37*'Исходные данные'!$H$59&lt;'Исходные данные'!$H$60,'Исходные данные'!$H$60,C37*'Исходные данные'!$H$59)+C37*'Исходные данные'!$H$62</f>
        <v>10000</v>
      </c>
      <c r="D70" s="184">
        <f>IF(D37*'Исходные данные'!$H$59&lt;'Исходные данные'!$H$60,'Исходные данные'!$H$60,D37*'Исходные данные'!$H$59)+D37*'Исходные данные'!$H$62</f>
        <v>10000</v>
      </c>
      <c r="E70" s="184">
        <f>IF(E37*'Исходные данные'!$H$59&lt;'Исходные данные'!$H$60,'Исходные данные'!$H$60,E37*'Исходные данные'!$H$59)+E37*'Исходные данные'!$H$62</f>
        <v>10000</v>
      </c>
      <c r="F70" s="184">
        <f>IF(F37*'Исходные данные'!$H$59&lt;'Исходные данные'!$H$60,'Исходные данные'!$H$60,F37*'Исходные данные'!$H$59)+F37*'Исходные данные'!$H$62</f>
        <v>10000</v>
      </c>
      <c r="G70" s="184">
        <f>IF(G37*'Исходные данные'!$H$59&lt;'Исходные данные'!$H$60,'Исходные данные'!$H$60,G37*'Исходные данные'!$H$59)+G37*'Исходные данные'!$H$62</f>
        <v>10000</v>
      </c>
      <c r="H70" s="184">
        <f>IF(H37*'Исходные данные'!$H$59&lt;'Исходные данные'!$H$60,'Исходные данные'!$H$60,H37*'Исходные данные'!$H$59)+H37*'Исходные данные'!$H$62</f>
        <v>10000</v>
      </c>
      <c r="I70" s="184">
        <f>IF(I37*'Исходные данные'!$H$59&lt;'Исходные данные'!$H$60,'Исходные данные'!$H$60,I37*'Исходные данные'!$H$59)+I37*'Исходные данные'!$H$62</f>
        <v>10000</v>
      </c>
      <c r="J70" s="184">
        <f>IF(J37*'Исходные данные'!$H$59&lt;'Исходные данные'!$H$60,'Исходные данные'!$H$60,J37*'Исходные данные'!$H$59)+J37*'Исходные данные'!$H$62</f>
        <v>10000</v>
      </c>
      <c r="K70" s="184">
        <f>IF(K37*'Исходные данные'!$H$59&lt;'Исходные данные'!$H$60,'Исходные данные'!$H$60,K37*'Исходные данные'!$H$59)+K37*'Исходные данные'!$H$62</f>
        <v>10000</v>
      </c>
      <c r="L70" s="184">
        <f>IF(L37*'Исходные данные'!$H$59&lt;'Исходные данные'!$H$60,'Исходные данные'!$H$60,L37*'Исходные данные'!$H$59)+L37*'Исходные данные'!$H$62</f>
        <v>10000</v>
      </c>
      <c r="M70" s="184">
        <f>IF(M37*'Исходные данные'!$H$59&lt;'Исходные данные'!$H$60,'Исходные данные'!$H$60,M37*'Исходные данные'!$H$59)+M37*'Исходные данные'!$H$62</f>
        <v>10000</v>
      </c>
      <c r="N70" s="184">
        <f>IF(N37*'Исходные данные'!$H$59&lt;'Исходные данные'!$H$60,'Исходные данные'!$H$60,N37*'Исходные данные'!$H$59)+N37*'Исходные данные'!$H$62</f>
        <v>10000</v>
      </c>
      <c r="O70" s="185"/>
      <c r="P70" s="185"/>
      <c r="Q70" s="184">
        <f>IF(Q37*'Исходные данные'!$H$59&lt;'Исходные данные'!$H$60,'Исходные данные'!$H$60,Q37*'Исходные данные'!$H$59)+Q37*'Исходные данные'!$H$62</f>
        <v>10000</v>
      </c>
      <c r="R70" s="184">
        <f>IF(R37*'Исходные данные'!$H$59&lt;'Исходные данные'!$H$60,'Исходные данные'!$H$60,R37*'Исходные данные'!$H$59)+R37*'Исходные данные'!$H$62</f>
        <v>10000</v>
      </c>
      <c r="S70" s="184">
        <f>IF(S37*'Исходные данные'!$H$59&lt;'Исходные данные'!$H$60,'Исходные данные'!$H$60,S37*'Исходные данные'!$H$59)+S37*'Исходные данные'!$H$62</f>
        <v>10000</v>
      </c>
      <c r="T70" s="184">
        <f>IF(T37*'Исходные данные'!$H$59&lt;'Исходные данные'!$H$60,'Исходные данные'!$H$60,T37*'Исходные данные'!$H$59)+T37*'Исходные данные'!$H$62</f>
        <v>10000</v>
      </c>
      <c r="U70" s="184">
        <f>IF(U37*'Исходные данные'!$H$59&lt;'Исходные данные'!$H$60,'Исходные данные'!$H$60,U37*'Исходные данные'!$H$59)+U37*'Исходные данные'!$H$62</f>
        <v>10000</v>
      </c>
      <c r="V70" s="184">
        <f>IF(V37*'Исходные данные'!$H$59&lt;'Исходные данные'!$H$60,'Исходные данные'!$H$60,V37*'Исходные данные'!$H$59)+V37*'Исходные данные'!$H$62</f>
        <v>10000</v>
      </c>
      <c r="W70" s="184">
        <f>IF(W37*'Исходные данные'!$H$59&lt;'Исходные данные'!$H$60,'Исходные данные'!$H$60,W37*'Исходные данные'!$H$59)+W37*'Исходные данные'!$H$62</f>
        <v>10000</v>
      </c>
      <c r="X70" s="184">
        <f>IF(X37*'Исходные данные'!$H$59&lt;'Исходные данные'!$H$60,'Исходные данные'!$H$60,X37*'Исходные данные'!$H$59)+X37*'Исходные данные'!$H$62</f>
        <v>10000</v>
      </c>
      <c r="Y70" s="184">
        <f>IF(Y37*'Исходные данные'!$H$59&lt;'Исходные данные'!$H$60,'Исходные данные'!$H$60,Y37*'Исходные данные'!$H$59)+Y37*'Исходные данные'!$H$62</f>
        <v>10000</v>
      </c>
      <c r="Z70" s="184">
        <f>IF(Z37*'Исходные данные'!$H$59&lt;'Исходные данные'!$H$60,'Исходные данные'!$H$60,Z37*'Исходные данные'!$H$59)+Z37*'Исходные данные'!$H$62</f>
        <v>10000</v>
      </c>
      <c r="AA70" s="184">
        <f>IF(AA37*'Исходные данные'!$H$59&lt;'Исходные данные'!$H$60,'Исходные данные'!$H$60,AA37*'Исходные данные'!$H$59)+AA37*'Исходные данные'!$H$62</f>
        <v>10000</v>
      </c>
      <c r="AB70" s="184">
        <f>IF(AB37*'Исходные данные'!$H$59&lt;'Исходные данные'!$H$60,'Исходные данные'!$H$60,AB37*'Исходные данные'!$H$59)+AB37*'Исходные данные'!$H$62</f>
        <v>10000</v>
      </c>
      <c r="AC70" s="185"/>
      <c r="AD70" s="185"/>
      <c r="AE70" s="184">
        <f>IF(AE37*'Исходные данные'!$H$59&lt;'Исходные данные'!$H$60,'Исходные данные'!$H$60,AE37*'Исходные данные'!$H$59)+AE37*'Исходные данные'!$H$62</f>
        <v>10000</v>
      </c>
      <c r="AF70" s="184">
        <f>IF(AF37*'Исходные данные'!$H$59&lt;'Исходные данные'!$H$60,'Исходные данные'!$H$60,AF37*'Исходные данные'!$H$59)+AF37*'Исходные данные'!$H$62</f>
        <v>10000</v>
      </c>
      <c r="AG70" s="184">
        <f>IF(AG37*'Исходные данные'!$H$59&lt;'Исходные данные'!$H$60,'Исходные данные'!$H$60,AG37*'Исходные данные'!$H$59)+AG37*'Исходные данные'!$H$62</f>
        <v>10000</v>
      </c>
      <c r="AH70" s="184">
        <f>IF(AH37*'Исходные данные'!$H$59&lt;'Исходные данные'!$H$60,'Исходные данные'!$H$60,AH37*'Исходные данные'!$H$59)+AH37*'Исходные данные'!$H$62</f>
        <v>10000</v>
      </c>
      <c r="AI70" s="184">
        <f>IF(AI37*'Исходные данные'!$H$59&lt;'Исходные данные'!$H$60,'Исходные данные'!$H$60,AI37*'Исходные данные'!$H$59)+AI37*'Исходные данные'!$H$62</f>
        <v>10000</v>
      </c>
      <c r="AJ70" s="184">
        <f>IF(AJ37*'Исходные данные'!$H$59&lt;'Исходные данные'!$H$60,'Исходные данные'!$H$60,AJ37*'Исходные данные'!$H$59)+AJ37*'Исходные данные'!$H$62</f>
        <v>10000</v>
      </c>
      <c r="AK70" s="184">
        <f>IF(AK37*'Исходные данные'!$H$59&lt;'Исходные данные'!$H$60,'Исходные данные'!$H$60,AK37*'Исходные данные'!$H$59)+AK37*'Исходные данные'!$H$62</f>
        <v>10000</v>
      </c>
      <c r="AL70" s="184">
        <f>IF(AL37*'Исходные данные'!$H$59&lt;'Исходные данные'!$H$60,'Исходные данные'!$H$60,AL37*'Исходные данные'!$H$59)+AL37*'Исходные данные'!$H$62</f>
        <v>10000</v>
      </c>
      <c r="AM70" s="184">
        <f>IF(AM37*'Исходные данные'!$H$59&lt;'Исходные данные'!$H$60,'Исходные данные'!$H$60,AM37*'Исходные данные'!$H$59)+AM37*'Исходные данные'!$H$62</f>
        <v>10000</v>
      </c>
      <c r="AN70" s="184">
        <f>IF(AN37*'Исходные данные'!$H$59&lt;'Исходные данные'!$H$60,'Исходные данные'!$H$60,AN37*'Исходные данные'!$H$59)+AN37*'Исходные данные'!$H$62</f>
        <v>10000</v>
      </c>
      <c r="AO70" s="184">
        <f>IF(AO37*'Исходные данные'!$H$59&lt;'Исходные данные'!$H$60,'Исходные данные'!$H$60,AO37*'Исходные данные'!$H$59)+AO37*'Исходные данные'!$H$62</f>
        <v>10000</v>
      </c>
      <c r="AP70" s="184">
        <f>IF(AP37*'Исходные данные'!$H$59&lt;'Исходные данные'!$H$60,'Исходные данные'!$H$60,AP37*'Исходные данные'!$H$59)+AP37*'Исходные данные'!$H$62</f>
        <v>10000</v>
      </c>
      <c r="AQ70" s="185"/>
      <c r="AR70" s="185"/>
      <c r="AS70" s="184"/>
    </row>
    <row r="71" spans="1:46" s="186" customFormat="1" ht="11" hidden="1" x14ac:dyDescent="0.15">
      <c r="A71" s="182"/>
      <c r="B71" s="183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5"/>
      <c r="P71" s="185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5"/>
      <c r="AD71" s="185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5"/>
      <c r="AR71" s="185"/>
      <c r="AS71" s="184"/>
    </row>
    <row r="72" spans="1:46" s="186" customFormat="1" ht="11" hidden="1" x14ac:dyDescent="0.15">
      <c r="A72" s="182"/>
      <c r="B72" s="183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5"/>
      <c r="P72" s="185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5"/>
      <c r="AD72" s="185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5"/>
      <c r="AR72" s="185"/>
      <c r="AS72" s="184"/>
    </row>
    <row r="73" spans="1:46" s="43" customFormat="1" ht="12" thickTop="1" x14ac:dyDescent="0.15">
      <c r="A73" s="81" t="str">
        <f>'Обобщенный расчет'!B43</f>
        <v>Зарплата персонала</v>
      </c>
      <c r="B73" s="28" t="s">
        <v>74</v>
      </c>
      <c r="C73" s="41">
        <f>CHOOSE('Обобщенный расчет'!$M$1,C63,C64,C65)</f>
        <v>45750</v>
      </c>
      <c r="D73" s="41">
        <f>CHOOSE('Обобщенный расчет'!$M$1,D63,D64,D65)</f>
        <v>49500</v>
      </c>
      <c r="E73" s="41">
        <f>CHOOSE('Обобщенный расчет'!$M$1,E63,E64,E65)</f>
        <v>54000</v>
      </c>
      <c r="F73" s="41">
        <f>CHOOSE('Обобщенный расчет'!$M$1,F63,F64,F65)</f>
        <v>57000</v>
      </c>
      <c r="G73" s="41">
        <f>CHOOSE('Обобщенный расчет'!$M$1,G63,G64,G65)</f>
        <v>57000</v>
      </c>
      <c r="H73" s="41">
        <f>CHOOSE('Обобщенный расчет'!$M$1,H63,H64,H65)</f>
        <v>57000</v>
      </c>
      <c r="I73" s="41">
        <f>CHOOSE('Обобщенный расчет'!$M$1,I63,I64,I65)</f>
        <v>57000</v>
      </c>
      <c r="J73" s="41">
        <f>CHOOSE('Обобщенный расчет'!$M$1,J63,J64,J65)</f>
        <v>57000</v>
      </c>
      <c r="K73" s="41">
        <f>CHOOSE('Обобщенный расчет'!$M$1,K63,K64,K65)</f>
        <v>57000</v>
      </c>
      <c r="L73" s="41">
        <f>CHOOSE('Обобщенный расчет'!$M$1,L63,L64,L65)</f>
        <v>57000</v>
      </c>
      <c r="M73" s="41">
        <f>CHOOSE('Обобщенный расчет'!$M$1,M63,M64,M65)</f>
        <v>57000</v>
      </c>
      <c r="N73" s="41">
        <f>CHOOSE('Обобщенный расчет'!$M$1,N63,N64,N65)</f>
        <v>57000</v>
      </c>
      <c r="O73" s="144">
        <f t="shared" ref="O73:O84" si="238">SUM(C73:N73)</f>
        <v>662250</v>
      </c>
      <c r="P73" s="144">
        <f t="shared" ref="P73:P84" si="239">O73/12</f>
        <v>55187.5</v>
      </c>
      <c r="Q73" s="41">
        <f>CHOOSE('Обобщенный расчет'!$M$1,Q63,Q64,Q65)</f>
        <v>57000</v>
      </c>
      <c r="R73" s="41">
        <f>CHOOSE('Обобщенный расчет'!$M$1,R63,R64,R65)</f>
        <v>57000</v>
      </c>
      <c r="S73" s="41">
        <f>CHOOSE('Обобщенный расчет'!$M$1,S63,S64,S65)</f>
        <v>57000</v>
      </c>
      <c r="T73" s="41">
        <f>CHOOSE('Обобщенный расчет'!$M$1,T63,T64,T65)</f>
        <v>57000</v>
      </c>
      <c r="U73" s="41">
        <f>CHOOSE('Обобщенный расчет'!$M$1,U63,U64,U65)</f>
        <v>57000</v>
      </c>
      <c r="V73" s="41">
        <f>CHOOSE('Обобщенный расчет'!$M$1,V63,V64,V65)</f>
        <v>57000</v>
      </c>
      <c r="W73" s="41">
        <f>CHOOSE('Обобщенный расчет'!$M$1,W63,W64,W65)</f>
        <v>57000</v>
      </c>
      <c r="X73" s="41">
        <f>CHOOSE('Обобщенный расчет'!$M$1,X63,X64,X65)</f>
        <v>57000</v>
      </c>
      <c r="Y73" s="41">
        <f>CHOOSE('Обобщенный расчет'!$M$1,Y63,Y64,Y65)</f>
        <v>57000</v>
      </c>
      <c r="Z73" s="41">
        <f>CHOOSE('Обобщенный расчет'!$M$1,Z63,Z64,Z65)</f>
        <v>57000</v>
      </c>
      <c r="AA73" s="41">
        <f>CHOOSE('Обобщенный расчет'!$M$1,AA63,AA64,AA65)</f>
        <v>57000</v>
      </c>
      <c r="AB73" s="41">
        <f>CHOOSE('Обобщенный расчет'!$M$1,AB63,AB64,AB65)</f>
        <v>57000</v>
      </c>
      <c r="AC73" s="144">
        <f t="shared" ref="AC73:AC84" si="240">SUM(Q73:AB73)</f>
        <v>684000</v>
      </c>
      <c r="AD73" s="144">
        <f t="shared" ref="AD73:AD84" si="241">AC73/12</f>
        <v>57000</v>
      </c>
      <c r="AE73" s="41">
        <f>CHOOSE('Обобщенный расчет'!$M$1,AE63,AE64,AE65)</f>
        <v>57000</v>
      </c>
      <c r="AF73" s="41">
        <f>CHOOSE('Обобщенный расчет'!$M$1,AF63,AF64,AF65)</f>
        <v>57000</v>
      </c>
      <c r="AG73" s="41">
        <f>CHOOSE('Обобщенный расчет'!$M$1,AG63,AG64,AG65)</f>
        <v>57000</v>
      </c>
      <c r="AH73" s="41">
        <f>CHOOSE('Обобщенный расчет'!$M$1,AH63,AH64,AH65)</f>
        <v>57000</v>
      </c>
      <c r="AI73" s="41">
        <f>CHOOSE('Обобщенный расчет'!$M$1,AI63,AI64,AI65)</f>
        <v>57000</v>
      </c>
      <c r="AJ73" s="41">
        <f>CHOOSE('Обобщенный расчет'!$M$1,AJ63,AJ64,AJ65)</f>
        <v>57000</v>
      </c>
      <c r="AK73" s="41">
        <f>CHOOSE('Обобщенный расчет'!$M$1,AK63,AK64,AK65)</f>
        <v>57000</v>
      </c>
      <c r="AL73" s="41">
        <f>CHOOSE('Обобщенный расчет'!$M$1,AL63,AL64,AL65)</f>
        <v>57000</v>
      </c>
      <c r="AM73" s="41">
        <f>CHOOSE('Обобщенный расчет'!$M$1,AM63,AM64,AM65)</f>
        <v>57000</v>
      </c>
      <c r="AN73" s="41">
        <f>CHOOSE('Обобщенный расчет'!$M$1,AN63,AN64,AN65)</f>
        <v>57000</v>
      </c>
      <c r="AO73" s="41">
        <f>CHOOSE('Обобщенный расчет'!$M$1,AO63,AO64,AO65)</f>
        <v>57000</v>
      </c>
      <c r="AP73" s="41">
        <f>CHOOSE('Обобщенный расчет'!$M$1,AP63,AP64,AP65)</f>
        <v>57000</v>
      </c>
      <c r="AQ73" s="144">
        <f t="shared" ref="AQ73:AQ84" si="242">SUM(AE73:AP73)</f>
        <v>684000</v>
      </c>
      <c r="AR73" s="144">
        <f t="shared" ref="AR73:AR84" si="243">AQ73/12</f>
        <v>57000</v>
      </c>
      <c r="AS73" s="154">
        <f t="shared" ref="AS73:AS85" si="244">O73+AC73+AQ73</f>
        <v>2030250</v>
      </c>
      <c r="AT73" s="42"/>
    </row>
    <row r="74" spans="1:46" s="46" customFormat="1" ht="11" x14ac:dyDescent="0.15">
      <c r="A74" s="82" t="str">
        <f>'Обобщенный расчет'!B44</f>
        <v>Роялти (с каждой точки франчайзи)</v>
      </c>
      <c r="B74" s="32" t="s">
        <v>74</v>
      </c>
      <c r="C74" s="44">
        <f>CHOOSE('Обобщенный расчет'!$M$1,C68,C69,C70)</f>
        <v>0</v>
      </c>
      <c r="D74" s="44">
        <f>CHOOSE('Обобщенный расчет'!$M$1,D68,D69,D70)</f>
        <v>0</v>
      </c>
      <c r="E74" s="44">
        <f>CHOOSE('Обобщенный расчет'!$M$1,E68,E69,E70)</f>
        <v>0</v>
      </c>
      <c r="F74" s="44">
        <f>CHOOSE('Обобщенный расчет'!$M$1,F68,F69,F70)</f>
        <v>0</v>
      </c>
      <c r="G74" s="44">
        <f>CHOOSE('Обобщенный расчет'!$M$1,G68,G69,G70)</f>
        <v>0</v>
      </c>
      <c r="H74" s="44">
        <f>CHOOSE('Обобщенный расчет'!$M$1,H68,H69,H70)</f>
        <v>0</v>
      </c>
      <c r="I74" s="44">
        <f>CHOOSE('Обобщенный расчет'!$M$1,I68,I69,I70)</f>
        <v>0</v>
      </c>
      <c r="J74" s="44">
        <f>CHOOSE('Обобщенный расчет'!$M$1,J68,J69,J70)</f>
        <v>0</v>
      </c>
      <c r="K74" s="44">
        <f>CHOOSE('Обобщенный расчет'!$M$1,K68,K69,K70)</f>
        <v>0</v>
      </c>
      <c r="L74" s="44">
        <f>CHOOSE('Обобщенный расчет'!$M$1,L68,L69,L70)</f>
        <v>0</v>
      </c>
      <c r="M74" s="44">
        <f>CHOOSE('Обобщенный расчет'!$M$1,M68,M69,M70)</f>
        <v>0</v>
      </c>
      <c r="N74" s="44">
        <f>CHOOSE('Обобщенный расчет'!$M$1,N68,N69,N70)</f>
        <v>0</v>
      </c>
      <c r="O74" s="73">
        <f t="shared" si="238"/>
        <v>0</v>
      </c>
      <c r="P74" s="73">
        <f t="shared" si="239"/>
        <v>0</v>
      </c>
      <c r="Q74" s="44">
        <f>CHOOSE('Обобщенный расчет'!$M$1,Q68,Q69,Q70)</f>
        <v>0</v>
      </c>
      <c r="R74" s="44">
        <f>CHOOSE('Обобщенный расчет'!$M$1,R68,R69,R70)</f>
        <v>0</v>
      </c>
      <c r="S74" s="44">
        <f>CHOOSE('Обобщенный расчет'!$M$1,S68,S69,S70)</f>
        <v>0</v>
      </c>
      <c r="T74" s="44">
        <f>CHOOSE('Обобщенный расчет'!$M$1,T68,T69,T70)</f>
        <v>0</v>
      </c>
      <c r="U74" s="44">
        <f>CHOOSE('Обобщенный расчет'!$M$1,U68,U69,U70)</f>
        <v>0</v>
      </c>
      <c r="V74" s="44">
        <f>CHOOSE('Обобщенный расчет'!$M$1,V68,V69,V70)</f>
        <v>0</v>
      </c>
      <c r="W74" s="44">
        <f>CHOOSE('Обобщенный расчет'!$M$1,W68,W69,W70)</f>
        <v>0</v>
      </c>
      <c r="X74" s="44">
        <f>CHOOSE('Обобщенный расчет'!$M$1,X68,X69,X70)</f>
        <v>0</v>
      </c>
      <c r="Y74" s="44">
        <f>CHOOSE('Обобщенный расчет'!$M$1,Y68,Y69,Y70)</f>
        <v>0</v>
      </c>
      <c r="Z74" s="44">
        <f>CHOOSE('Обобщенный расчет'!$M$1,Z68,Z69,Z70)</f>
        <v>0</v>
      </c>
      <c r="AA74" s="44">
        <f>CHOOSE('Обобщенный расчет'!$M$1,AA68,AA69,AA70)</f>
        <v>0</v>
      </c>
      <c r="AB74" s="44">
        <f>CHOOSE('Обобщенный расчет'!$M$1,AB68,AB69,AB70)</f>
        <v>0</v>
      </c>
      <c r="AC74" s="73">
        <f t="shared" si="240"/>
        <v>0</v>
      </c>
      <c r="AD74" s="73">
        <f t="shared" si="241"/>
        <v>0</v>
      </c>
      <c r="AE74" s="44">
        <f>CHOOSE('Обобщенный расчет'!$M$1,AE68,AE69,AE70)</f>
        <v>0</v>
      </c>
      <c r="AF74" s="44">
        <f>CHOOSE('Обобщенный расчет'!$M$1,AF68,AF69,AF70)</f>
        <v>0</v>
      </c>
      <c r="AG74" s="44">
        <f>CHOOSE('Обобщенный расчет'!$M$1,AG68,AG69,AG70)</f>
        <v>0</v>
      </c>
      <c r="AH74" s="44">
        <f>CHOOSE('Обобщенный расчет'!$M$1,AH68,AH69,AH70)</f>
        <v>0</v>
      </c>
      <c r="AI74" s="44">
        <f>CHOOSE('Обобщенный расчет'!$M$1,AI68,AI69,AI70)</f>
        <v>0</v>
      </c>
      <c r="AJ74" s="44">
        <f>CHOOSE('Обобщенный расчет'!$M$1,AJ68,AJ69,AJ70)</f>
        <v>0</v>
      </c>
      <c r="AK74" s="44">
        <f>CHOOSE('Обобщенный расчет'!$M$1,AK68,AK69,AK70)</f>
        <v>0</v>
      </c>
      <c r="AL74" s="44">
        <f>CHOOSE('Обобщенный расчет'!$M$1,AL68,AL69,AL70)</f>
        <v>0</v>
      </c>
      <c r="AM74" s="44">
        <f>CHOOSE('Обобщенный расчет'!$M$1,AM68,AM69,AM70)</f>
        <v>0</v>
      </c>
      <c r="AN74" s="44">
        <f>CHOOSE('Обобщенный расчет'!$M$1,AN68,AN69,AN70)</f>
        <v>0</v>
      </c>
      <c r="AO74" s="44">
        <f>CHOOSE('Обобщенный расчет'!$M$1,AO68,AO69,AO70)</f>
        <v>0</v>
      </c>
      <c r="AP74" s="44">
        <f>CHOOSE('Обобщенный расчет'!$M$1,AP68,AP69,AP70)</f>
        <v>0</v>
      </c>
      <c r="AQ74" s="73">
        <f t="shared" si="242"/>
        <v>0</v>
      </c>
      <c r="AR74" s="73">
        <f t="shared" si="243"/>
        <v>0</v>
      </c>
      <c r="AS74" s="154">
        <f t="shared" si="244"/>
        <v>0</v>
      </c>
      <c r="AT74" s="45"/>
    </row>
    <row r="75" spans="1:46" s="43" customFormat="1" ht="11" x14ac:dyDescent="0.15">
      <c r="A75" s="81" t="str">
        <f>'Обобщенный расчет'!B45</f>
        <v>Бухгалтерия (за все точки)</v>
      </c>
      <c r="B75" s="28" t="s">
        <v>74</v>
      </c>
      <c r="C75" s="41">
        <f>'Обобщенный расчет'!$F45</f>
        <v>10000</v>
      </c>
      <c r="D75" s="41">
        <f>'Обобщенный расчет'!$F45</f>
        <v>10000</v>
      </c>
      <c r="E75" s="41">
        <f>'Обобщенный расчет'!$F45</f>
        <v>10000</v>
      </c>
      <c r="F75" s="41">
        <f>'Обобщенный расчет'!$F45</f>
        <v>10000</v>
      </c>
      <c r="G75" s="41">
        <f>'Обобщенный расчет'!$F45</f>
        <v>10000</v>
      </c>
      <c r="H75" s="41">
        <f>'Обобщенный расчет'!$F45</f>
        <v>10000</v>
      </c>
      <c r="I75" s="41">
        <f>'Обобщенный расчет'!$F45</f>
        <v>10000</v>
      </c>
      <c r="J75" s="41">
        <f>'Обобщенный расчет'!$F45</f>
        <v>10000</v>
      </c>
      <c r="K75" s="41">
        <f>'Обобщенный расчет'!$F45</f>
        <v>10000</v>
      </c>
      <c r="L75" s="41">
        <f>'Обобщенный расчет'!$F45</f>
        <v>10000</v>
      </c>
      <c r="M75" s="41">
        <f>'Обобщенный расчет'!$F45</f>
        <v>10000</v>
      </c>
      <c r="N75" s="41">
        <f>'Обобщенный расчет'!$F45</f>
        <v>10000</v>
      </c>
      <c r="O75" s="144">
        <f t="shared" ref="O75:O76" si="245">SUM(C75:N75)</f>
        <v>120000</v>
      </c>
      <c r="P75" s="144">
        <f t="shared" ref="P75:P76" si="246">O75/12</f>
        <v>10000</v>
      </c>
      <c r="Q75" s="41">
        <f>'Обобщенный расчет'!$F45</f>
        <v>10000</v>
      </c>
      <c r="R75" s="41">
        <f>'Обобщенный расчет'!$F45</f>
        <v>10000</v>
      </c>
      <c r="S75" s="41">
        <f>'Обобщенный расчет'!$F45</f>
        <v>10000</v>
      </c>
      <c r="T75" s="41">
        <f>'Обобщенный расчет'!$F45</f>
        <v>10000</v>
      </c>
      <c r="U75" s="41">
        <f>'Обобщенный расчет'!$F45</f>
        <v>10000</v>
      </c>
      <c r="V75" s="41">
        <f>'Обобщенный расчет'!$F45</f>
        <v>10000</v>
      </c>
      <c r="W75" s="41">
        <f>'Обобщенный расчет'!$F45</f>
        <v>10000</v>
      </c>
      <c r="X75" s="41">
        <f>'Обобщенный расчет'!$F45</f>
        <v>10000</v>
      </c>
      <c r="Y75" s="41">
        <f>'Обобщенный расчет'!$F45</f>
        <v>10000</v>
      </c>
      <c r="Z75" s="41">
        <f>'Обобщенный расчет'!$F45</f>
        <v>10000</v>
      </c>
      <c r="AA75" s="41">
        <f>'Обобщенный расчет'!$F45</f>
        <v>10000</v>
      </c>
      <c r="AB75" s="41">
        <f>'Обобщенный расчет'!$F45</f>
        <v>10000</v>
      </c>
      <c r="AC75" s="144">
        <f t="shared" si="240"/>
        <v>120000</v>
      </c>
      <c r="AD75" s="144">
        <f t="shared" si="241"/>
        <v>10000</v>
      </c>
      <c r="AE75" s="41">
        <f>'Обобщенный расчет'!$F45</f>
        <v>10000</v>
      </c>
      <c r="AF75" s="41">
        <f>'Обобщенный расчет'!$F45</f>
        <v>10000</v>
      </c>
      <c r="AG75" s="41">
        <f>'Обобщенный расчет'!$F45</f>
        <v>10000</v>
      </c>
      <c r="AH75" s="41">
        <f>'Обобщенный расчет'!$F45</f>
        <v>10000</v>
      </c>
      <c r="AI75" s="41">
        <f>'Обобщенный расчет'!$F45</f>
        <v>10000</v>
      </c>
      <c r="AJ75" s="41">
        <f>'Обобщенный расчет'!$F45</f>
        <v>10000</v>
      </c>
      <c r="AK75" s="41">
        <f>'Обобщенный расчет'!$F45</f>
        <v>10000</v>
      </c>
      <c r="AL75" s="41">
        <f>'Обобщенный расчет'!$F45</f>
        <v>10000</v>
      </c>
      <c r="AM75" s="41">
        <f>'Обобщенный расчет'!$F45</f>
        <v>10000</v>
      </c>
      <c r="AN75" s="41">
        <f>'Обобщенный расчет'!$F45</f>
        <v>10000</v>
      </c>
      <c r="AO75" s="41">
        <f>'Обобщенный расчет'!$F45</f>
        <v>10000</v>
      </c>
      <c r="AP75" s="41">
        <f>'Обобщенный расчет'!$F45</f>
        <v>10000</v>
      </c>
      <c r="AQ75" s="144">
        <f t="shared" si="242"/>
        <v>120000</v>
      </c>
      <c r="AR75" s="144">
        <f t="shared" si="243"/>
        <v>10000</v>
      </c>
      <c r="AS75" s="154">
        <f t="shared" si="244"/>
        <v>360000</v>
      </c>
      <c r="AT75" s="42"/>
    </row>
    <row r="76" spans="1:46" s="46" customFormat="1" ht="11" x14ac:dyDescent="0.15">
      <c r="A76" s="82" t="str">
        <f>'Обобщенный расчет'!B46</f>
        <v>1С (за все точки)</v>
      </c>
      <c r="B76" s="32" t="s">
        <v>74</v>
      </c>
      <c r="C76" s="44">
        <f>'Обобщенный расчет'!$F46</f>
        <v>0</v>
      </c>
      <c r="D76" s="44">
        <f>'Обобщенный расчет'!$F46</f>
        <v>0</v>
      </c>
      <c r="E76" s="44">
        <f>'Обобщенный расчет'!$F46</f>
        <v>0</v>
      </c>
      <c r="F76" s="44">
        <f>'Обобщенный расчет'!$F46</f>
        <v>0</v>
      </c>
      <c r="G76" s="44">
        <f>'Обобщенный расчет'!$F46</f>
        <v>0</v>
      </c>
      <c r="H76" s="44">
        <f>'Обобщенный расчет'!$F46</f>
        <v>0</v>
      </c>
      <c r="I76" s="44">
        <f>'Обобщенный расчет'!$F46</f>
        <v>0</v>
      </c>
      <c r="J76" s="44">
        <f>'Обобщенный расчет'!$F46</f>
        <v>0</v>
      </c>
      <c r="K76" s="44">
        <f>'Обобщенный расчет'!$F46</f>
        <v>0</v>
      </c>
      <c r="L76" s="44">
        <f>'Обобщенный расчет'!$F46</f>
        <v>0</v>
      </c>
      <c r="M76" s="44">
        <f>'Обобщенный расчет'!$F46</f>
        <v>0</v>
      </c>
      <c r="N76" s="44">
        <f>'Обобщенный расчет'!$F46</f>
        <v>0</v>
      </c>
      <c r="O76" s="73">
        <f t="shared" si="245"/>
        <v>0</v>
      </c>
      <c r="P76" s="73">
        <f t="shared" si="246"/>
        <v>0</v>
      </c>
      <c r="Q76" s="44">
        <f>'Обобщенный расчет'!$F46</f>
        <v>0</v>
      </c>
      <c r="R76" s="44">
        <f>'Обобщенный расчет'!$F46</f>
        <v>0</v>
      </c>
      <c r="S76" s="44">
        <f>'Обобщенный расчет'!$F46</f>
        <v>0</v>
      </c>
      <c r="T76" s="44">
        <f>'Обобщенный расчет'!$F46</f>
        <v>0</v>
      </c>
      <c r="U76" s="44">
        <f>'Обобщенный расчет'!$F46</f>
        <v>0</v>
      </c>
      <c r="V76" s="44">
        <f>'Обобщенный расчет'!$F46</f>
        <v>0</v>
      </c>
      <c r="W76" s="44">
        <f>'Обобщенный расчет'!$F46</f>
        <v>0</v>
      </c>
      <c r="X76" s="44">
        <f>'Обобщенный расчет'!$F46</f>
        <v>0</v>
      </c>
      <c r="Y76" s="44">
        <f>'Обобщенный расчет'!$F46</f>
        <v>0</v>
      </c>
      <c r="Z76" s="44">
        <f>'Обобщенный расчет'!$F46</f>
        <v>0</v>
      </c>
      <c r="AA76" s="44">
        <f>'Обобщенный расчет'!$F46</f>
        <v>0</v>
      </c>
      <c r="AB76" s="44">
        <f>'Обобщенный расчет'!$F46</f>
        <v>0</v>
      </c>
      <c r="AC76" s="73">
        <f t="shared" si="240"/>
        <v>0</v>
      </c>
      <c r="AD76" s="73">
        <f t="shared" si="241"/>
        <v>0</v>
      </c>
      <c r="AE76" s="44">
        <f>'Обобщенный расчет'!$F46</f>
        <v>0</v>
      </c>
      <c r="AF76" s="44">
        <f>'Обобщенный расчет'!$F46</f>
        <v>0</v>
      </c>
      <c r="AG76" s="44">
        <f>'Обобщенный расчет'!$F46</f>
        <v>0</v>
      </c>
      <c r="AH76" s="44">
        <f>'Обобщенный расчет'!$F46</f>
        <v>0</v>
      </c>
      <c r="AI76" s="44">
        <f>'Обобщенный расчет'!$F46</f>
        <v>0</v>
      </c>
      <c r="AJ76" s="44">
        <f>'Обобщенный расчет'!$F46</f>
        <v>0</v>
      </c>
      <c r="AK76" s="44">
        <f>'Обобщенный расчет'!$F46</f>
        <v>0</v>
      </c>
      <c r="AL76" s="44">
        <f>'Обобщенный расчет'!$F46</f>
        <v>0</v>
      </c>
      <c r="AM76" s="44">
        <f>'Обобщенный расчет'!$F46</f>
        <v>0</v>
      </c>
      <c r="AN76" s="44">
        <f>'Обобщенный расчет'!$F46</f>
        <v>0</v>
      </c>
      <c r="AO76" s="44">
        <f>'Обобщенный расчет'!$F46</f>
        <v>0</v>
      </c>
      <c r="AP76" s="44">
        <f>'Обобщенный расчет'!$F46</f>
        <v>0</v>
      </c>
      <c r="AQ76" s="73">
        <f t="shared" si="242"/>
        <v>0</v>
      </c>
      <c r="AR76" s="73">
        <f t="shared" si="243"/>
        <v>0</v>
      </c>
      <c r="AS76" s="154">
        <f t="shared" si="244"/>
        <v>0</v>
      </c>
      <c r="AT76" s="45"/>
    </row>
    <row r="77" spans="1:46" s="43" customFormat="1" ht="11" x14ac:dyDescent="0.15">
      <c r="A77" s="81" t="str">
        <f>'Обобщенный расчет'!B47</f>
        <v>Аренда</v>
      </c>
      <c r="B77" s="28" t="s">
        <v>74</v>
      </c>
      <c r="C77" s="41">
        <f>'Обобщенный расчет'!$F47</f>
        <v>20000</v>
      </c>
      <c r="D77" s="41">
        <f>'Обобщенный расчет'!$F47</f>
        <v>20000</v>
      </c>
      <c r="E77" s="41">
        <f>'Обобщенный расчет'!$F47</f>
        <v>20000</v>
      </c>
      <c r="F77" s="41">
        <f>'Обобщенный расчет'!$F47</f>
        <v>20000</v>
      </c>
      <c r="G77" s="41">
        <f>'Обобщенный расчет'!$F47</f>
        <v>20000</v>
      </c>
      <c r="H77" s="41">
        <f>'Обобщенный расчет'!$F47</f>
        <v>20000</v>
      </c>
      <c r="I77" s="41">
        <f>'Обобщенный расчет'!$F47</f>
        <v>20000</v>
      </c>
      <c r="J77" s="41">
        <f>'Обобщенный расчет'!$F47</f>
        <v>20000</v>
      </c>
      <c r="K77" s="41">
        <f>'Обобщенный расчет'!$F47</f>
        <v>20000</v>
      </c>
      <c r="L77" s="41">
        <f>'Обобщенный расчет'!$F47</f>
        <v>20000</v>
      </c>
      <c r="M77" s="41">
        <f>'Обобщенный расчет'!$F47</f>
        <v>20000</v>
      </c>
      <c r="N77" s="41">
        <f>'Обобщенный расчет'!$F47</f>
        <v>20000</v>
      </c>
      <c r="O77" s="144">
        <f t="shared" si="238"/>
        <v>240000</v>
      </c>
      <c r="P77" s="144">
        <f t="shared" si="239"/>
        <v>20000</v>
      </c>
      <c r="Q77" s="41">
        <f>'Обобщенный расчет'!$F47</f>
        <v>20000</v>
      </c>
      <c r="R77" s="41">
        <f>'Обобщенный расчет'!$F47</f>
        <v>20000</v>
      </c>
      <c r="S77" s="41">
        <f>'Обобщенный расчет'!$F47</f>
        <v>20000</v>
      </c>
      <c r="T77" s="41">
        <f>'Обобщенный расчет'!$F47</f>
        <v>20000</v>
      </c>
      <c r="U77" s="41">
        <f>'Обобщенный расчет'!$F47</f>
        <v>20000</v>
      </c>
      <c r="V77" s="41">
        <f>'Обобщенный расчет'!$F47</f>
        <v>20000</v>
      </c>
      <c r="W77" s="41">
        <f>'Обобщенный расчет'!$F47</f>
        <v>20000</v>
      </c>
      <c r="X77" s="41">
        <f>'Обобщенный расчет'!$F47</f>
        <v>20000</v>
      </c>
      <c r="Y77" s="41">
        <f>'Обобщенный расчет'!$F47</f>
        <v>20000</v>
      </c>
      <c r="Z77" s="41">
        <f>'Обобщенный расчет'!$F47</f>
        <v>20000</v>
      </c>
      <c r="AA77" s="41">
        <f>'Обобщенный расчет'!$F47</f>
        <v>20000</v>
      </c>
      <c r="AB77" s="41">
        <f>'Обобщенный расчет'!$F47</f>
        <v>20000</v>
      </c>
      <c r="AC77" s="144">
        <f t="shared" si="240"/>
        <v>240000</v>
      </c>
      <c r="AD77" s="144">
        <f t="shared" si="241"/>
        <v>20000</v>
      </c>
      <c r="AE77" s="41">
        <f>'Обобщенный расчет'!$F47</f>
        <v>20000</v>
      </c>
      <c r="AF77" s="41">
        <f>'Обобщенный расчет'!$F47</f>
        <v>20000</v>
      </c>
      <c r="AG77" s="41">
        <f>'Обобщенный расчет'!$F47</f>
        <v>20000</v>
      </c>
      <c r="AH77" s="41">
        <f>'Обобщенный расчет'!$F47</f>
        <v>20000</v>
      </c>
      <c r="AI77" s="41">
        <f>'Обобщенный расчет'!$F47</f>
        <v>20000</v>
      </c>
      <c r="AJ77" s="41">
        <f>'Обобщенный расчет'!$F47</f>
        <v>20000</v>
      </c>
      <c r="AK77" s="41">
        <f>'Обобщенный расчет'!$F47</f>
        <v>20000</v>
      </c>
      <c r="AL77" s="41">
        <f>'Обобщенный расчет'!$F47</f>
        <v>20000</v>
      </c>
      <c r="AM77" s="41">
        <f>'Обобщенный расчет'!$F47</f>
        <v>20000</v>
      </c>
      <c r="AN77" s="41">
        <f>'Обобщенный расчет'!$F47</f>
        <v>20000</v>
      </c>
      <c r="AO77" s="41">
        <f>'Обобщенный расчет'!$F47</f>
        <v>20000</v>
      </c>
      <c r="AP77" s="41">
        <f>'Обобщенный расчет'!$F47</f>
        <v>20000</v>
      </c>
      <c r="AQ77" s="144">
        <f t="shared" si="242"/>
        <v>240000</v>
      </c>
      <c r="AR77" s="144">
        <f t="shared" si="243"/>
        <v>20000</v>
      </c>
      <c r="AS77" s="154">
        <f t="shared" si="244"/>
        <v>720000</v>
      </c>
      <c r="AT77" s="42"/>
    </row>
    <row r="78" spans="1:46" s="46" customFormat="1" ht="11" x14ac:dyDescent="0.15">
      <c r="A78" s="82" t="str">
        <f>'Обобщенный расчет'!B48</f>
        <v>Коммунальные платежи</v>
      </c>
      <c r="B78" s="32" t="s">
        <v>74</v>
      </c>
      <c r="C78" s="44">
        <f>'Обобщенный расчет'!$F48</f>
        <v>2000</v>
      </c>
      <c r="D78" s="44">
        <f>'Обобщенный расчет'!$F48</f>
        <v>2000</v>
      </c>
      <c r="E78" s="44">
        <f>'Обобщенный расчет'!$F48</f>
        <v>2000</v>
      </c>
      <c r="F78" s="44">
        <f>'Обобщенный расчет'!$F48</f>
        <v>2000</v>
      </c>
      <c r="G78" s="44">
        <f>'Обобщенный расчет'!$F48</f>
        <v>2000</v>
      </c>
      <c r="H78" s="44">
        <f>'Обобщенный расчет'!$F48</f>
        <v>2000</v>
      </c>
      <c r="I78" s="44">
        <f>'Обобщенный расчет'!$F48</f>
        <v>2000</v>
      </c>
      <c r="J78" s="44">
        <f>'Обобщенный расчет'!$F48</f>
        <v>2000</v>
      </c>
      <c r="K78" s="44">
        <f>'Обобщенный расчет'!$F48</f>
        <v>2000</v>
      </c>
      <c r="L78" s="44">
        <f>'Обобщенный расчет'!$F48</f>
        <v>2000</v>
      </c>
      <c r="M78" s="44">
        <f>'Обобщенный расчет'!$F48</f>
        <v>2000</v>
      </c>
      <c r="N78" s="44">
        <f>'Обобщенный расчет'!$F48</f>
        <v>2000</v>
      </c>
      <c r="O78" s="73">
        <f t="shared" si="238"/>
        <v>24000</v>
      </c>
      <c r="P78" s="73">
        <f t="shared" si="239"/>
        <v>2000</v>
      </c>
      <c r="Q78" s="44">
        <f>'Обобщенный расчет'!$F48</f>
        <v>2000</v>
      </c>
      <c r="R78" s="44">
        <f>'Обобщенный расчет'!$F48</f>
        <v>2000</v>
      </c>
      <c r="S78" s="44">
        <f>'Обобщенный расчет'!$F48</f>
        <v>2000</v>
      </c>
      <c r="T78" s="44">
        <f>'Обобщенный расчет'!$F48</f>
        <v>2000</v>
      </c>
      <c r="U78" s="44">
        <f>'Обобщенный расчет'!$F48</f>
        <v>2000</v>
      </c>
      <c r="V78" s="44">
        <f>'Обобщенный расчет'!$F48</f>
        <v>2000</v>
      </c>
      <c r="W78" s="44">
        <f>'Обобщенный расчет'!$F48</f>
        <v>2000</v>
      </c>
      <c r="X78" s="44">
        <f>'Обобщенный расчет'!$F48</f>
        <v>2000</v>
      </c>
      <c r="Y78" s="44">
        <f>'Обобщенный расчет'!$F48</f>
        <v>2000</v>
      </c>
      <c r="Z78" s="44">
        <f>'Обобщенный расчет'!$F48</f>
        <v>2000</v>
      </c>
      <c r="AA78" s="44">
        <f>'Обобщенный расчет'!$F48</f>
        <v>2000</v>
      </c>
      <c r="AB78" s="44">
        <f>'Обобщенный расчет'!$F48</f>
        <v>2000</v>
      </c>
      <c r="AC78" s="73">
        <f t="shared" si="240"/>
        <v>24000</v>
      </c>
      <c r="AD78" s="73">
        <f t="shared" si="241"/>
        <v>2000</v>
      </c>
      <c r="AE78" s="44">
        <f>'Обобщенный расчет'!$F48</f>
        <v>2000</v>
      </c>
      <c r="AF78" s="44">
        <f>'Обобщенный расчет'!$F48</f>
        <v>2000</v>
      </c>
      <c r="AG78" s="44">
        <f>'Обобщенный расчет'!$F48</f>
        <v>2000</v>
      </c>
      <c r="AH78" s="44">
        <f>'Обобщенный расчет'!$F48</f>
        <v>2000</v>
      </c>
      <c r="AI78" s="44">
        <f>'Обобщенный расчет'!$F48</f>
        <v>2000</v>
      </c>
      <c r="AJ78" s="44">
        <f>'Обобщенный расчет'!$F48</f>
        <v>2000</v>
      </c>
      <c r="AK78" s="44">
        <f>'Обобщенный расчет'!$F48</f>
        <v>2000</v>
      </c>
      <c r="AL78" s="44">
        <f>'Обобщенный расчет'!$F48</f>
        <v>2000</v>
      </c>
      <c r="AM78" s="44">
        <f>'Обобщенный расчет'!$F48</f>
        <v>2000</v>
      </c>
      <c r="AN78" s="44">
        <f>'Обобщенный расчет'!$F48</f>
        <v>2000</v>
      </c>
      <c r="AO78" s="44">
        <f>'Обобщенный расчет'!$F48</f>
        <v>2000</v>
      </c>
      <c r="AP78" s="44">
        <f>'Обобщенный расчет'!$F48</f>
        <v>2000</v>
      </c>
      <c r="AQ78" s="73">
        <f t="shared" si="242"/>
        <v>24000</v>
      </c>
      <c r="AR78" s="73">
        <f t="shared" si="243"/>
        <v>2000</v>
      </c>
      <c r="AS78" s="154">
        <f t="shared" si="244"/>
        <v>72000</v>
      </c>
      <c r="AT78" s="45"/>
    </row>
    <row r="79" spans="1:46" s="43" customFormat="1" ht="11" x14ac:dyDescent="0.15">
      <c r="A79" s="81" t="str">
        <f>'Обобщенный расчет'!B49</f>
        <v>Охрана объекта</v>
      </c>
      <c r="B79" s="28" t="s">
        <v>74</v>
      </c>
      <c r="C79" s="41">
        <f>'Обобщенный расчет'!$F49</f>
        <v>1500</v>
      </c>
      <c r="D79" s="41">
        <f>'Обобщенный расчет'!$F49</f>
        <v>1500</v>
      </c>
      <c r="E79" s="41">
        <f>'Обобщенный расчет'!$F49</f>
        <v>1500</v>
      </c>
      <c r="F79" s="41">
        <f>'Обобщенный расчет'!$F49</f>
        <v>1500</v>
      </c>
      <c r="G79" s="41">
        <f>'Обобщенный расчет'!$F49</f>
        <v>1500</v>
      </c>
      <c r="H79" s="41">
        <f>'Обобщенный расчет'!$F49</f>
        <v>1500</v>
      </c>
      <c r="I79" s="41">
        <f>'Обобщенный расчет'!$F49</f>
        <v>1500</v>
      </c>
      <c r="J79" s="41">
        <f>'Обобщенный расчет'!$F49</f>
        <v>1500</v>
      </c>
      <c r="K79" s="41">
        <f>'Обобщенный расчет'!$F49</f>
        <v>1500</v>
      </c>
      <c r="L79" s="41">
        <f>'Обобщенный расчет'!$F49</f>
        <v>1500</v>
      </c>
      <c r="M79" s="41">
        <f>'Обобщенный расчет'!$F49</f>
        <v>1500</v>
      </c>
      <c r="N79" s="41">
        <f>'Обобщенный расчет'!$F49</f>
        <v>1500</v>
      </c>
      <c r="O79" s="144">
        <f t="shared" si="238"/>
        <v>18000</v>
      </c>
      <c r="P79" s="144">
        <f t="shared" si="239"/>
        <v>1500</v>
      </c>
      <c r="Q79" s="41">
        <f>'Обобщенный расчет'!$F49</f>
        <v>1500</v>
      </c>
      <c r="R79" s="41">
        <f>'Обобщенный расчет'!$F49</f>
        <v>1500</v>
      </c>
      <c r="S79" s="41">
        <f>'Обобщенный расчет'!$F49</f>
        <v>1500</v>
      </c>
      <c r="T79" s="41">
        <f>'Обобщенный расчет'!$F49</f>
        <v>1500</v>
      </c>
      <c r="U79" s="41">
        <f>'Обобщенный расчет'!$F49</f>
        <v>1500</v>
      </c>
      <c r="V79" s="41">
        <f>'Обобщенный расчет'!$F49</f>
        <v>1500</v>
      </c>
      <c r="W79" s="41">
        <f>'Обобщенный расчет'!$F49</f>
        <v>1500</v>
      </c>
      <c r="X79" s="41">
        <f>'Обобщенный расчет'!$F49</f>
        <v>1500</v>
      </c>
      <c r="Y79" s="41">
        <f>'Обобщенный расчет'!$F49</f>
        <v>1500</v>
      </c>
      <c r="Z79" s="41">
        <f>'Обобщенный расчет'!$F49</f>
        <v>1500</v>
      </c>
      <c r="AA79" s="41">
        <f>'Обобщенный расчет'!$F49</f>
        <v>1500</v>
      </c>
      <c r="AB79" s="41">
        <f>'Обобщенный расчет'!$F49</f>
        <v>1500</v>
      </c>
      <c r="AC79" s="144">
        <f t="shared" si="240"/>
        <v>18000</v>
      </c>
      <c r="AD79" s="144">
        <f t="shared" si="241"/>
        <v>1500</v>
      </c>
      <c r="AE79" s="41">
        <f>'Обобщенный расчет'!$F49</f>
        <v>1500</v>
      </c>
      <c r="AF79" s="41">
        <f>'Обобщенный расчет'!$F49</f>
        <v>1500</v>
      </c>
      <c r="AG79" s="41">
        <f>'Обобщенный расчет'!$F49</f>
        <v>1500</v>
      </c>
      <c r="AH79" s="41">
        <f>'Обобщенный расчет'!$F49</f>
        <v>1500</v>
      </c>
      <c r="AI79" s="41">
        <f>'Обобщенный расчет'!$F49</f>
        <v>1500</v>
      </c>
      <c r="AJ79" s="41">
        <f>'Обобщенный расчет'!$F49</f>
        <v>1500</v>
      </c>
      <c r="AK79" s="41">
        <f>'Обобщенный расчет'!$F49</f>
        <v>1500</v>
      </c>
      <c r="AL79" s="41">
        <f>'Обобщенный расчет'!$F49</f>
        <v>1500</v>
      </c>
      <c r="AM79" s="41">
        <f>'Обобщенный расчет'!$F49</f>
        <v>1500</v>
      </c>
      <c r="AN79" s="41">
        <f>'Обобщенный расчет'!$F49</f>
        <v>1500</v>
      </c>
      <c r="AO79" s="41">
        <f>'Обобщенный расчет'!$F49</f>
        <v>1500</v>
      </c>
      <c r="AP79" s="41">
        <f>'Обобщенный расчет'!$F49</f>
        <v>1500</v>
      </c>
      <c r="AQ79" s="144">
        <f t="shared" si="242"/>
        <v>18000</v>
      </c>
      <c r="AR79" s="144">
        <f t="shared" si="243"/>
        <v>1500</v>
      </c>
      <c r="AS79" s="154">
        <f t="shared" si="244"/>
        <v>54000</v>
      </c>
      <c r="AT79" s="42"/>
    </row>
    <row r="80" spans="1:46" s="46" customFormat="1" ht="11" x14ac:dyDescent="0.15">
      <c r="A80" s="82" t="str">
        <f>'Обобщенный расчет'!B50</f>
        <v>Офисные расходы</v>
      </c>
      <c r="B80" s="32" t="s">
        <v>74</v>
      </c>
      <c r="C80" s="44">
        <f>'Обобщенный расчет'!$F50</f>
        <v>1000</v>
      </c>
      <c r="D80" s="44">
        <f>'Обобщенный расчет'!$F50</f>
        <v>1000</v>
      </c>
      <c r="E80" s="44">
        <f>'Обобщенный расчет'!$F50</f>
        <v>1000</v>
      </c>
      <c r="F80" s="44">
        <f>'Обобщенный расчет'!$F50</f>
        <v>1000</v>
      </c>
      <c r="G80" s="44">
        <f>'Обобщенный расчет'!$F50</f>
        <v>1000</v>
      </c>
      <c r="H80" s="44">
        <f>'Обобщенный расчет'!$F50</f>
        <v>1000</v>
      </c>
      <c r="I80" s="44">
        <f>'Обобщенный расчет'!$F50</f>
        <v>1000</v>
      </c>
      <c r="J80" s="44">
        <f>'Обобщенный расчет'!$F50</f>
        <v>1000</v>
      </c>
      <c r="K80" s="44">
        <f>'Обобщенный расчет'!$F50</f>
        <v>1000</v>
      </c>
      <c r="L80" s="44">
        <f>'Обобщенный расчет'!$F50</f>
        <v>1000</v>
      </c>
      <c r="M80" s="44">
        <f>'Обобщенный расчет'!$F50</f>
        <v>1000</v>
      </c>
      <c r="N80" s="44">
        <f>'Обобщенный расчет'!$F50</f>
        <v>1000</v>
      </c>
      <c r="O80" s="73">
        <f t="shared" si="238"/>
        <v>12000</v>
      </c>
      <c r="P80" s="73">
        <f t="shared" si="239"/>
        <v>1000</v>
      </c>
      <c r="Q80" s="44">
        <f>'Обобщенный расчет'!$F50</f>
        <v>1000</v>
      </c>
      <c r="R80" s="44">
        <f>'Обобщенный расчет'!$F50</f>
        <v>1000</v>
      </c>
      <c r="S80" s="44">
        <f>'Обобщенный расчет'!$F50</f>
        <v>1000</v>
      </c>
      <c r="T80" s="44">
        <f>'Обобщенный расчет'!$F50</f>
        <v>1000</v>
      </c>
      <c r="U80" s="44">
        <f>'Обобщенный расчет'!$F50</f>
        <v>1000</v>
      </c>
      <c r="V80" s="44">
        <f>'Обобщенный расчет'!$F50</f>
        <v>1000</v>
      </c>
      <c r="W80" s="44">
        <f>'Обобщенный расчет'!$F50</f>
        <v>1000</v>
      </c>
      <c r="X80" s="44">
        <f>'Обобщенный расчет'!$F50</f>
        <v>1000</v>
      </c>
      <c r="Y80" s="44">
        <f>'Обобщенный расчет'!$F50</f>
        <v>1000</v>
      </c>
      <c r="Z80" s="44">
        <f>'Обобщенный расчет'!$F50</f>
        <v>1000</v>
      </c>
      <c r="AA80" s="44">
        <f>'Обобщенный расчет'!$F50</f>
        <v>1000</v>
      </c>
      <c r="AB80" s="44">
        <f>'Обобщенный расчет'!$F50</f>
        <v>1000</v>
      </c>
      <c r="AC80" s="73">
        <f t="shared" si="240"/>
        <v>12000</v>
      </c>
      <c r="AD80" s="73">
        <f t="shared" si="241"/>
        <v>1000</v>
      </c>
      <c r="AE80" s="44">
        <f>'Обобщенный расчет'!$F50</f>
        <v>1000</v>
      </c>
      <c r="AF80" s="44">
        <f>'Обобщенный расчет'!$F50</f>
        <v>1000</v>
      </c>
      <c r="AG80" s="44">
        <f>'Обобщенный расчет'!$F50</f>
        <v>1000</v>
      </c>
      <c r="AH80" s="44">
        <f>'Обобщенный расчет'!$F50</f>
        <v>1000</v>
      </c>
      <c r="AI80" s="44">
        <f>'Обобщенный расчет'!$F50</f>
        <v>1000</v>
      </c>
      <c r="AJ80" s="44">
        <f>'Обобщенный расчет'!$F50</f>
        <v>1000</v>
      </c>
      <c r="AK80" s="44">
        <f>'Обобщенный расчет'!$F50</f>
        <v>1000</v>
      </c>
      <c r="AL80" s="44">
        <f>'Обобщенный расчет'!$F50</f>
        <v>1000</v>
      </c>
      <c r="AM80" s="44">
        <f>'Обобщенный расчет'!$F50</f>
        <v>1000</v>
      </c>
      <c r="AN80" s="44">
        <f>'Обобщенный расчет'!$F50</f>
        <v>1000</v>
      </c>
      <c r="AO80" s="44">
        <f>'Обобщенный расчет'!$F50</f>
        <v>1000</v>
      </c>
      <c r="AP80" s="44">
        <f>'Обобщенный расчет'!$F50</f>
        <v>1000</v>
      </c>
      <c r="AQ80" s="73">
        <f t="shared" si="242"/>
        <v>12000</v>
      </c>
      <c r="AR80" s="73">
        <f t="shared" si="243"/>
        <v>1000</v>
      </c>
      <c r="AS80" s="154">
        <f t="shared" si="244"/>
        <v>36000</v>
      </c>
      <c r="AT80" s="45"/>
    </row>
    <row r="81" spans="1:46" s="43" customFormat="1" ht="11" x14ac:dyDescent="0.15">
      <c r="A81" s="81" t="str">
        <f>'Обобщенный расчет'!B51</f>
        <v>Услуги связи</v>
      </c>
      <c r="B81" s="28" t="s">
        <v>74</v>
      </c>
      <c r="C81" s="41">
        <f>'Обобщенный расчет'!$F51</f>
        <v>1200</v>
      </c>
      <c r="D81" s="41">
        <f>'Обобщенный расчет'!$F51</f>
        <v>1200</v>
      </c>
      <c r="E81" s="41">
        <f>'Обобщенный расчет'!$F51</f>
        <v>1200</v>
      </c>
      <c r="F81" s="41">
        <f>'Обобщенный расчет'!$F51</f>
        <v>1200</v>
      </c>
      <c r="G81" s="41">
        <f>'Обобщенный расчет'!$F51</f>
        <v>1200</v>
      </c>
      <c r="H81" s="41">
        <f>'Обобщенный расчет'!$F51</f>
        <v>1200</v>
      </c>
      <c r="I81" s="41">
        <f>'Обобщенный расчет'!$F51</f>
        <v>1200</v>
      </c>
      <c r="J81" s="41">
        <f>'Обобщенный расчет'!$F51</f>
        <v>1200</v>
      </c>
      <c r="K81" s="41">
        <f>'Обобщенный расчет'!$F51</f>
        <v>1200</v>
      </c>
      <c r="L81" s="41">
        <f>'Обобщенный расчет'!$F51</f>
        <v>1200</v>
      </c>
      <c r="M81" s="41">
        <f>'Обобщенный расчет'!$F51</f>
        <v>1200</v>
      </c>
      <c r="N81" s="41">
        <f>'Обобщенный расчет'!$F51</f>
        <v>1200</v>
      </c>
      <c r="O81" s="144">
        <f t="shared" si="238"/>
        <v>14400</v>
      </c>
      <c r="P81" s="144">
        <f t="shared" si="239"/>
        <v>1200</v>
      </c>
      <c r="Q81" s="41">
        <f>'Обобщенный расчет'!$F51</f>
        <v>1200</v>
      </c>
      <c r="R81" s="41">
        <f>'Обобщенный расчет'!$F51</f>
        <v>1200</v>
      </c>
      <c r="S81" s="41">
        <f>'Обобщенный расчет'!$F51</f>
        <v>1200</v>
      </c>
      <c r="T81" s="41">
        <f>'Обобщенный расчет'!$F51</f>
        <v>1200</v>
      </c>
      <c r="U81" s="41">
        <f>'Обобщенный расчет'!$F51</f>
        <v>1200</v>
      </c>
      <c r="V81" s="41">
        <f>'Обобщенный расчет'!$F51</f>
        <v>1200</v>
      </c>
      <c r="W81" s="41">
        <f>'Обобщенный расчет'!$F51</f>
        <v>1200</v>
      </c>
      <c r="X81" s="41">
        <f>'Обобщенный расчет'!$F51</f>
        <v>1200</v>
      </c>
      <c r="Y81" s="41">
        <f>'Обобщенный расчет'!$F51</f>
        <v>1200</v>
      </c>
      <c r="Z81" s="41">
        <f>'Обобщенный расчет'!$F51</f>
        <v>1200</v>
      </c>
      <c r="AA81" s="41">
        <f>'Обобщенный расчет'!$F51</f>
        <v>1200</v>
      </c>
      <c r="AB81" s="41">
        <f>'Обобщенный расчет'!$F51</f>
        <v>1200</v>
      </c>
      <c r="AC81" s="144">
        <f t="shared" si="240"/>
        <v>14400</v>
      </c>
      <c r="AD81" s="144">
        <f t="shared" si="241"/>
        <v>1200</v>
      </c>
      <c r="AE81" s="41">
        <f>'Обобщенный расчет'!$F51</f>
        <v>1200</v>
      </c>
      <c r="AF81" s="41">
        <f>'Обобщенный расчет'!$F51</f>
        <v>1200</v>
      </c>
      <c r="AG81" s="41">
        <f>'Обобщенный расчет'!$F51</f>
        <v>1200</v>
      </c>
      <c r="AH81" s="41">
        <f>'Обобщенный расчет'!$F51</f>
        <v>1200</v>
      </c>
      <c r="AI81" s="41">
        <f>'Обобщенный расчет'!$F51</f>
        <v>1200</v>
      </c>
      <c r="AJ81" s="41">
        <f>'Обобщенный расчет'!$F51</f>
        <v>1200</v>
      </c>
      <c r="AK81" s="41">
        <f>'Обобщенный расчет'!$F51</f>
        <v>1200</v>
      </c>
      <c r="AL81" s="41">
        <f>'Обобщенный расчет'!$F51</f>
        <v>1200</v>
      </c>
      <c r="AM81" s="41">
        <f>'Обобщенный расчет'!$F51</f>
        <v>1200</v>
      </c>
      <c r="AN81" s="41">
        <f>'Обобщенный расчет'!$F51</f>
        <v>1200</v>
      </c>
      <c r="AO81" s="41">
        <f>'Обобщенный расчет'!$F51</f>
        <v>1200</v>
      </c>
      <c r="AP81" s="41">
        <f>'Обобщенный расчет'!$F51</f>
        <v>1200</v>
      </c>
      <c r="AQ81" s="144">
        <f t="shared" si="242"/>
        <v>14400</v>
      </c>
      <c r="AR81" s="144">
        <f t="shared" si="243"/>
        <v>1200</v>
      </c>
      <c r="AS81" s="154">
        <f t="shared" si="244"/>
        <v>43200</v>
      </c>
      <c r="AT81" s="42"/>
    </row>
    <row r="82" spans="1:46" s="46" customFormat="1" ht="11" x14ac:dyDescent="0.15">
      <c r="A82" s="82" t="str">
        <f>'Обобщенный расчет'!B52</f>
        <v>Налоги, патенты, лицензии</v>
      </c>
      <c r="B82" s="32" t="s">
        <v>74</v>
      </c>
      <c r="C82" s="44">
        <f>'Обобщенный расчет'!$F52</f>
        <v>0</v>
      </c>
      <c r="D82" s="44">
        <f>'Обобщенный расчет'!$F52</f>
        <v>0</v>
      </c>
      <c r="E82" s="44">
        <f>'Обобщенный расчет'!$F52</f>
        <v>0</v>
      </c>
      <c r="F82" s="44">
        <f>'Обобщенный расчет'!$F52</f>
        <v>0</v>
      </c>
      <c r="G82" s="44">
        <f>'Обобщенный расчет'!$F52</f>
        <v>0</v>
      </c>
      <c r="H82" s="44">
        <f>'Обобщенный расчет'!$F52</f>
        <v>0</v>
      </c>
      <c r="I82" s="44">
        <f>'Обобщенный расчет'!$F52</f>
        <v>0</v>
      </c>
      <c r="J82" s="44">
        <f>'Обобщенный расчет'!$F52</f>
        <v>0</v>
      </c>
      <c r="K82" s="44">
        <f>'Обобщенный расчет'!$F52</f>
        <v>0</v>
      </c>
      <c r="L82" s="44">
        <f>'Обобщенный расчет'!$F52</f>
        <v>0</v>
      </c>
      <c r="M82" s="44">
        <f>'Обобщенный расчет'!$F52</f>
        <v>0</v>
      </c>
      <c r="N82" s="44">
        <f>'Обобщенный расчет'!$F52</f>
        <v>0</v>
      </c>
      <c r="O82" s="73">
        <f t="shared" si="238"/>
        <v>0</v>
      </c>
      <c r="P82" s="73">
        <f t="shared" si="239"/>
        <v>0</v>
      </c>
      <c r="Q82" s="44">
        <f>'Обобщенный расчет'!$F52</f>
        <v>0</v>
      </c>
      <c r="R82" s="44">
        <f>'Обобщенный расчет'!$F52</f>
        <v>0</v>
      </c>
      <c r="S82" s="44">
        <f>'Обобщенный расчет'!$F52</f>
        <v>0</v>
      </c>
      <c r="T82" s="44">
        <f>'Обобщенный расчет'!$F52</f>
        <v>0</v>
      </c>
      <c r="U82" s="44">
        <f>'Обобщенный расчет'!$F52</f>
        <v>0</v>
      </c>
      <c r="V82" s="44">
        <f>'Обобщенный расчет'!$F52</f>
        <v>0</v>
      </c>
      <c r="W82" s="44">
        <f>'Обобщенный расчет'!$F52</f>
        <v>0</v>
      </c>
      <c r="X82" s="44">
        <f>'Обобщенный расчет'!$F52</f>
        <v>0</v>
      </c>
      <c r="Y82" s="44">
        <f>'Обобщенный расчет'!$F52</f>
        <v>0</v>
      </c>
      <c r="Z82" s="44">
        <f>'Обобщенный расчет'!$F52</f>
        <v>0</v>
      </c>
      <c r="AA82" s="44">
        <f>'Обобщенный расчет'!$F52</f>
        <v>0</v>
      </c>
      <c r="AB82" s="44">
        <f>'Обобщенный расчет'!$F52</f>
        <v>0</v>
      </c>
      <c r="AC82" s="73">
        <f t="shared" si="240"/>
        <v>0</v>
      </c>
      <c r="AD82" s="73">
        <f t="shared" si="241"/>
        <v>0</v>
      </c>
      <c r="AE82" s="44">
        <f>'Обобщенный расчет'!$F52</f>
        <v>0</v>
      </c>
      <c r="AF82" s="44">
        <f>'Обобщенный расчет'!$F52</f>
        <v>0</v>
      </c>
      <c r="AG82" s="44">
        <f>'Обобщенный расчет'!$F52</f>
        <v>0</v>
      </c>
      <c r="AH82" s="44">
        <f>'Обобщенный расчет'!$F52</f>
        <v>0</v>
      </c>
      <c r="AI82" s="44">
        <f>'Обобщенный расчет'!$F52</f>
        <v>0</v>
      </c>
      <c r="AJ82" s="44">
        <f>'Обобщенный расчет'!$F52</f>
        <v>0</v>
      </c>
      <c r="AK82" s="44">
        <f>'Обобщенный расчет'!$F52</f>
        <v>0</v>
      </c>
      <c r="AL82" s="44">
        <f>'Обобщенный расчет'!$F52</f>
        <v>0</v>
      </c>
      <c r="AM82" s="44">
        <f>'Обобщенный расчет'!$F52</f>
        <v>0</v>
      </c>
      <c r="AN82" s="44">
        <f>'Обобщенный расчет'!$F52</f>
        <v>0</v>
      </c>
      <c r="AO82" s="44">
        <f>'Обобщенный расчет'!$F52</f>
        <v>0</v>
      </c>
      <c r="AP82" s="44">
        <f>'Обобщенный расчет'!$F52</f>
        <v>0</v>
      </c>
      <c r="AQ82" s="73">
        <f t="shared" si="242"/>
        <v>0</v>
      </c>
      <c r="AR82" s="73">
        <f t="shared" si="243"/>
        <v>0</v>
      </c>
      <c r="AS82" s="154">
        <f t="shared" si="244"/>
        <v>0</v>
      </c>
      <c r="AT82" s="45"/>
    </row>
    <row r="83" spans="1:46" s="43" customFormat="1" ht="11" x14ac:dyDescent="0.15">
      <c r="A83" s="81" t="str">
        <f>'Обобщенный расчет'!B53</f>
        <v>Местная реклама (буклеты, печатная продукция и т.д.)</v>
      </c>
      <c r="B83" s="28" t="s">
        <v>74</v>
      </c>
      <c r="C83" s="41">
        <f>'Обобщенный расчет'!$F53</f>
        <v>10000</v>
      </c>
      <c r="D83" s="41">
        <f>'Обобщенный расчет'!$F53</f>
        <v>10000</v>
      </c>
      <c r="E83" s="41">
        <f>'Обобщенный расчет'!$F53</f>
        <v>10000</v>
      </c>
      <c r="F83" s="41">
        <f>'Обобщенный расчет'!$F53</f>
        <v>10000</v>
      </c>
      <c r="G83" s="41">
        <f>'Обобщенный расчет'!$F53</f>
        <v>10000</v>
      </c>
      <c r="H83" s="41">
        <f>'Обобщенный расчет'!$F53</f>
        <v>10000</v>
      </c>
      <c r="I83" s="41">
        <f>'Обобщенный расчет'!$F53</f>
        <v>10000</v>
      </c>
      <c r="J83" s="41">
        <f>'Обобщенный расчет'!$F53</f>
        <v>10000</v>
      </c>
      <c r="K83" s="41">
        <f>'Обобщенный расчет'!$F53</f>
        <v>10000</v>
      </c>
      <c r="L83" s="41">
        <f>'Обобщенный расчет'!$F53</f>
        <v>10000</v>
      </c>
      <c r="M83" s="41">
        <f>'Обобщенный расчет'!$F53</f>
        <v>10000</v>
      </c>
      <c r="N83" s="41">
        <f>'Обобщенный расчет'!$F53</f>
        <v>10000</v>
      </c>
      <c r="O83" s="144">
        <f t="shared" si="238"/>
        <v>120000</v>
      </c>
      <c r="P83" s="144">
        <f t="shared" si="239"/>
        <v>10000</v>
      </c>
      <c r="Q83" s="41">
        <f>'Обобщенный расчет'!$F53</f>
        <v>10000</v>
      </c>
      <c r="R83" s="41">
        <f>'Обобщенный расчет'!$F53</f>
        <v>10000</v>
      </c>
      <c r="S83" s="41">
        <f>'Обобщенный расчет'!$F53</f>
        <v>10000</v>
      </c>
      <c r="T83" s="41">
        <f>'Обобщенный расчет'!$F53</f>
        <v>10000</v>
      </c>
      <c r="U83" s="41">
        <f>'Обобщенный расчет'!$F53</f>
        <v>10000</v>
      </c>
      <c r="V83" s="41">
        <f>'Обобщенный расчет'!$F53</f>
        <v>10000</v>
      </c>
      <c r="W83" s="41">
        <f>'Обобщенный расчет'!$F53</f>
        <v>10000</v>
      </c>
      <c r="X83" s="41">
        <f>'Обобщенный расчет'!$F53</f>
        <v>10000</v>
      </c>
      <c r="Y83" s="41">
        <f>'Обобщенный расчет'!$F53</f>
        <v>10000</v>
      </c>
      <c r="Z83" s="41">
        <f>'Обобщенный расчет'!$F53</f>
        <v>10000</v>
      </c>
      <c r="AA83" s="41">
        <f>'Обобщенный расчет'!$F53</f>
        <v>10000</v>
      </c>
      <c r="AB83" s="41">
        <f>'Обобщенный расчет'!$F53</f>
        <v>10000</v>
      </c>
      <c r="AC83" s="144">
        <f t="shared" si="240"/>
        <v>120000</v>
      </c>
      <c r="AD83" s="144">
        <f t="shared" si="241"/>
        <v>10000</v>
      </c>
      <c r="AE83" s="41">
        <f>'Обобщенный расчет'!$F53</f>
        <v>10000</v>
      </c>
      <c r="AF83" s="41">
        <f>'Обобщенный расчет'!$F53</f>
        <v>10000</v>
      </c>
      <c r="AG83" s="41">
        <f>'Обобщенный расчет'!$F53</f>
        <v>10000</v>
      </c>
      <c r="AH83" s="41">
        <f>'Обобщенный расчет'!$F53</f>
        <v>10000</v>
      </c>
      <c r="AI83" s="41">
        <f>'Обобщенный расчет'!$F53</f>
        <v>10000</v>
      </c>
      <c r="AJ83" s="41">
        <f>'Обобщенный расчет'!$F53</f>
        <v>10000</v>
      </c>
      <c r="AK83" s="41">
        <f>'Обобщенный расчет'!$F53</f>
        <v>10000</v>
      </c>
      <c r="AL83" s="41">
        <f>'Обобщенный расчет'!$F53</f>
        <v>10000</v>
      </c>
      <c r="AM83" s="41">
        <f>'Обобщенный расчет'!$F53</f>
        <v>10000</v>
      </c>
      <c r="AN83" s="41">
        <f>'Обобщенный расчет'!$F53</f>
        <v>10000</v>
      </c>
      <c r="AO83" s="41">
        <f>'Обобщенный расчет'!$F53</f>
        <v>10000</v>
      </c>
      <c r="AP83" s="41">
        <f>'Обобщенный расчет'!$F53</f>
        <v>10000</v>
      </c>
      <c r="AQ83" s="144">
        <f t="shared" si="242"/>
        <v>120000</v>
      </c>
      <c r="AR83" s="144">
        <f t="shared" si="243"/>
        <v>10000</v>
      </c>
      <c r="AS83" s="154">
        <f t="shared" si="244"/>
        <v>360000</v>
      </c>
      <c r="AT83" s="42"/>
    </row>
    <row r="84" spans="1:46" s="46" customFormat="1" ht="11" x14ac:dyDescent="0.15">
      <c r="A84" s="82" t="str">
        <f>'Обобщенный расчет'!B54</f>
        <v>Прочее (в т.ч. списания)</v>
      </c>
      <c r="B84" s="32" t="s">
        <v>74</v>
      </c>
      <c r="C84" s="44">
        <f>'Обобщенный расчет'!$F54</f>
        <v>3000</v>
      </c>
      <c r="D84" s="44">
        <f>'Обобщенный расчет'!$F54</f>
        <v>3000</v>
      </c>
      <c r="E84" s="44">
        <f>'Обобщенный расчет'!$F54</f>
        <v>3000</v>
      </c>
      <c r="F84" s="44">
        <f>'Обобщенный расчет'!$F54</f>
        <v>3000</v>
      </c>
      <c r="G84" s="44">
        <f>'Обобщенный расчет'!$F54</f>
        <v>3000</v>
      </c>
      <c r="H84" s="44">
        <f>'Обобщенный расчет'!$F54</f>
        <v>3000</v>
      </c>
      <c r="I84" s="44">
        <f>'Обобщенный расчет'!$F54</f>
        <v>3000</v>
      </c>
      <c r="J84" s="44">
        <f>'Обобщенный расчет'!$F54</f>
        <v>3000</v>
      </c>
      <c r="K84" s="44">
        <f>'Обобщенный расчет'!$F54</f>
        <v>3000</v>
      </c>
      <c r="L84" s="44">
        <f>'Обобщенный расчет'!$F54</f>
        <v>3000</v>
      </c>
      <c r="M84" s="44">
        <f>'Обобщенный расчет'!$F54</f>
        <v>3000</v>
      </c>
      <c r="N84" s="44">
        <f>'Обобщенный расчет'!$F54</f>
        <v>3000</v>
      </c>
      <c r="O84" s="73">
        <f t="shared" si="238"/>
        <v>36000</v>
      </c>
      <c r="P84" s="73">
        <f t="shared" si="239"/>
        <v>3000</v>
      </c>
      <c r="Q84" s="44">
        <f>'Обобщенный расчет'!$F54</f>
        <v>3000</v>
      </c>
      <c r="R84" s="44">
        <f>'Обобщенный расчет'!$F54</f>
        <v>3000</v>
      </c>
      <c r="S84" s="44">
        <f>'Обобщенный расчет'!$F54</f>
        <v>3000</v>
      </c>
      <c r="T84" s="44">
        <f>'Обобщенный расчет'!$F54</f>
        <v>3000</v>
      </c>
      <c r="U84" s="44">
        <f>'Обобщенный расчет'!$F54</f>
        <v>3000</v>
      </c>
      <c r="V84" s="44">
        <f>'Обобщенный расчет'!$F54</f>
        <v>3000</v>
      </c>
      <c r="W84" s="44">
        <f>'Обобщенный расчет'!$F54</f>
        <v>3000</v>
      </c>
      <c r="X84" s="44">
        <f>'Обобщенный расчет'!$F54</f>
        <v>3000</v>
      </c>
      <c r="Y84" s="44">
        <f>'Обобщенный расчет'!$F54</f>
        <v>3000</v>
      </c>
      <c r="Z84" s="44">
        <f>'Обобщенный расчет'!$F54</f>
        <v>3000</v>
      </c>
      <c r="AA84" s="44">
        <f>'Обобщенный расчет'!$F54</f>
        <v>3000</v>
      </c>
      <c r="AB84" s="44">
        <f>'Обобщенный расчет'!$F54</f>
        <v>3000</v>
      </c>
      <c r="AC84" s="73">
        <f t="shared" si="240"/>
        <v>36000</v>
      </c>
      <c r="AD84" s="73">
        <f t="shared" si="241"/>
        <v>3000</v>
      </c>
      <c r="AE84" s="44">
        <f>'Обобщенный расчет'!$F54</f>
        <v>3000</v>
      </c>
      <c r="AF84" s="44">
        <f>'Обобщенный расчет'!$F54</f>
        <v>3000</v>
      </c>
      <c r="AG84" s="44">
        <f>'Обобщенный расчет'!$F54</f>
        <v>3000</v>
      </c>
      <c r="AH84" s="44">
        <f>'Обобщенный расчет'!$F54</f>
        <v>3000</v>
      </c>
      <c r="AI84" s="44">
        <f>'Обобщенный расчет'!$F54</f>
        <v>3000</v>
      </c>
      <c r="AJ84" s="44">
        <f>'Обобщенный расчет'!$F54</f>
        <v>3000</v>
      </c>
      <c r="AK84" s="44">
        <f>'Обобщенный расчет'!$F54</f>
        <v>3000</v>
      </c>
      <c r="AL84" s="44">
        <f>'Обобщенный расчет'!$F54</f>
        <v>3000</v>
      </c>
      <c r="AM84" s="44">
        <f>'Обобщенный расчет'!$F54</f>
        <v>3000</v>
      </c>
      <c r="AN84" s="44">
        <f>'Обобщенный расчет'!$F54</f>
        <v>3000</v>
      </c>
      <c r="AO84" s="44">
        <f>'Обобщенный расчет'!$F54</f>
        <v>3000</v>
      </c>
      <c r="AP84" s="44">
        <f>'Обобщенный расчет'!$F54</f>
        <v>3000</v>
      </c>
      <c r="AQ84" s="73">
        <f t="shared" si="242"/>
        <v>36000</v>
      </c>
      <c r="AR84" s="73">
        <f t="shared" si="243"/>
        <v>3000</v>
      </c>
      <c r="AS84" s="154">
        <f t="shared" si="244"/>
        <v>108000</v>
      </c>
      <c r="AT84" s="45"/>
    </row>
    <row r="85" spans="1:46" s="87" customFormat="1" ht="11" x14ac:dyDescent="0.15">
      <c r="A85" s="36" t="s">
        <v>5</v>
      </c>
      <c r="B85" s="187" t="s">
        <v>74</v>
      </c>
      <c r="C85" s="188">
        <f t="shared" ref="C85:AR85" si="247">SUM(C73:C84)</f>
        <v>94450</v>
      </c>
      <c r="D85" s="188">
        <f t="shared" si="247"/>
        <v>98200</v>
      </c>
      <c r="E85" s="188">
        <f t="shared" si="247"/>
        <v>102700</v>
      </c>
      <c r="F85" s="188">
        <f t="shared" si="247"/>
        <v>105700</v>
      </c>
      <c r="G85" s="188">
        <f t="shared" si="247"/>
        <v>105700</v>
      </c>
      <c r="H85" s="188">
        <f t="shared" si="247"/>
        <v>105700</v>
      </c>
      <c r="I85" s="188">
        <f t="shared" si="247"/>
        <v>105700</v>
      </c>
      <c r="J85" s="188">
        <f t="shared" si="247"/>
        <v>105700</v>
      </c>
      <c r="K85" s="188">
        <f t="shared" si="247"/>
        <v>105700</v>
      </c>
      <c r="L85" s="188">
        <f t="shared" si="247"/>
        <v>105700</v>
      </c>
      <c r="M85" s="188">
        <f t="shared" si="247"/>
        <v>105700</v>
      </c>
      <c r="N85" s="188">
        <f t="shared" si="247"/>
        <v>105700</v>
      </c>
      <c r="O85" s="188">
        <f t="shared" si="247"/>
        <v>1246650</v>
      </c>
      <c r="P85" s="188">
        <f t="shared" si="247"/>
        <v>103887.5</v>
      </c>
      <c r="Q85" s="188">
        <f t="shared" si="247"/>
        <v>105700</v>
      </c>
      <c r="R85" s="188">
        <f t="shared" si="247"/>
        <v>105700</v>
      </c>
      <c r="S85" s="188">
        <f t="shared" si="247"/>
        <v>105700</v>
      </c>
      <c r="T85" s="188">
        <f t="shared" si="247"/>
        <v>105700</v>
      </c>
      <c r="U85" s="188">
        <f t="shared" si="247"/>
        <v>105700</v>
      </c>
      <c r="V85" s="188">
        <f t="shared" si="247"/>
        <v>105700</v>
      </c>
      <c r="W85" s="188">
        <f t="shared" si="247"/>
        <v>105700</v>
      </c>
      <c r="X85" s="188">
        <f t="shared" si="247"/>
        <v>105700</v>
      </c>
      <c r="Y85" s="188">
        <f t="shared" si="247"/>
        <v>105700</v>
      </c>
      <c r="Z85" s="188">
        <f t="shared" si="247"/>
        <v>105700</v>
      </c>
      <c r="AA85" s="188">
        <f t="shared" si="247"/>
        <v>105700</v>
      </c>
      <c r="AB85" s="188">
        <f t="shared" si="247"/>
        <v>105700</v>
      </c>
      <c r="AC85" s="188">
        <f t="shared" si="247"/>
        <v>1268400</v>
      </c>
      <c r="AD85" s="188">
        <f t="shared" si="247"/>
        <v>105700</v>
      </c>
      <c r="AE85" s="188">
        <f t="shared" si="247"/>
        <v>105700</v>
      </c>
      <c r="AF85" s="188">
        <f t="shared" si="247"/>
        <v>105700</v>
      </c>
      <c r="AG85" s="188">
        <f t="shared" si="247"/>
        <v>105700</v>
      </c>
      <c r="AH85" s="188">
        <f t="shared" si="247"/>
        <v>105700</v>
      </c>
      <c r="AI85" s="188">
        <f t="shared" si="247"/>
        <v>105700</v>
      </c>
      <c r="AJ85" s="188">
        <f t="shared" si="247"/>
        <v>105700</v>
      </c>
      <c r="AK85" s="188">
        <f t="shared" si="247"/>
        <v>105700</v>
      </c>
      <c r="AL85" s="188">
        <f t="shared" si="247"/>
        <v>105700</v>
      </c>
      <c r="AM85" s="188">
        <f t="shared" si="247"/>
        <v>105700</v>
      </c>
      <c r="AN85" s="188">
        <f t="shared" si="247"/>
        <v>105700</v>
      </c>
      <c r="AO85" s="188">
        <f t="shared" si="247"/>
        <v>105700</v>
      </c>
      <c r="AP85" s="188">
        <f t="shared" si="247"/>
        <v>105700</v>
      </c>
      <c r="AQ85" s="188">
        <f t="shared" si="247"/>
        <v>1268400</v>
      </c>
      <c r="AR85" s="188">
        <f t="shared" si="247"/>
        <v>105700</v>
      </c>
      <c r="AS85" s="189">
        <f t="shared" si="244"/>
        <v>3783450</v>
      </c>
    </row>
    <row r="86" spans="1:46" s="12" customFormat="1" ht="11" x14ac:dyDescent="0.15">
      <c r="A86" s="53"/>
      <c r="B86" s="54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148"/>
      <c r="P86" s="148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148"/>
      <c r="AD86" s="148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148"/>
      <c r="AR86" s="148"/>
      <c r="AS86" s="53"/>
    </row>
    <row r="87" spans="1:46" s="12" customFormat="1" ht="12" thickBot="1" x14ac:dyDescent="0.2">
      <c r="A87" s="50"/>
      <c r="B87" s="49"/>
      <c r="C87" s="56"/>
      <c r="D87" s="56"/>
      <c r="E87" s="56"/>
      <c r="F87" s="56"/>
      <c r="G87" s="56"/>
      <c r="H87" s="56"/>
      <c r="I87" s="50"/>
      <c r="J87" s="50"/>
      <c r="K87" s="50"/>
      <c r="L87" s="50"/>
      <c r="M87" s="50"/>
      <c r="N87" s="50"/>
      <c r="O87" s="147"/>
      <c r="P87" s="147"/>
      <c r="Q87" s="56"/>
      <c r="R87" s="56"/>
      <c r="S87" s="56"/>
      <c r="T87" s="56"/>
      <c r="U87" s="56"/>
      <c r="V87" s="56"/>
      <c r="W87" s="50"/>
      <c r="X87" s="50"/>
      <c r="Y87" s="50"/>
      <c r="Z87" s="50"/>
      <c r="AA87" s="50"/>
      <c r="AB87" s="50"/>
      <c r="AC87" s="147"/>
      <c r="AD87" s="147"/>
      <c r="AE87" s="56"/>
      <c r="AF87" s="56"/>
      <c r="AG87" s="56"/>
      <c r="AH87" s="56"/>
      <c r="AI87" s="56"/>
      <c r="AJ87" s="56"/>
      <c r="AK87" s="50"/>
      <c r="AL87" s="50"/>
      <c r="AM87" s="50"/>
      <c r="AN87" s="50"/>
      <c r="AO87" s="50"/>
      <c r="AP87" s="50"/>
      <c r="AQ87" s="147"/>
      <c r="AR87" s="147"/>
      <c r="AS87" s="50"/>
    </row>
    <row r="88" spans="1:46" s="24" customFormat="1" ht="24" thickTop="1" thickBot="1" x14ac:dyDescent="0.2">
      <c r="A88" s="22" t="s">
        <v>11</v>
      </c>
      <c r="B88" s="23"/>
      <c r="C88" s="23" t="str">
        <f t="shared" ref="C88:N88" si="248">C$6</f>
        <v>январь</v>
      </c>
      <c r="D88" s="23" t="str">
        <f t="shared" si="248"/>
        <v>февраль</v>
      </c>
      <c r="E88" s="23" t="str">
        <f t="shared" si="248"/>
        <v>март</v>
      </c>
      <c r="F88" s="23" t="str">
        <f t="shared" si="248"/>
        <v>апрель</v>
      </c>
      <c r="G88" s="23" t="str">
        <f t="shared" si="248"/>
        <v>май</v>
      </c>
      <c r="H88" s="23" t="str">
        <f t="shared" si="248"/>
        <v>июнь</v>
      </c>
      <c r="I88" s="23" t="str">
        <f t="shared" si="248"/>
        <v>июль</v>
      </c>
      <c r="J88" s="23" t="str">
        <f t="shared" si="248"/>
        <v>август</v>
      </c>
      <c r="K88" s="23" t="str">
        <f t="shared" si="248"/>
        <v>сентябрь</v>
      </c>
      <c r="L88" s="23" t="str">
        <f t="shared" si="248"/>
        <v>октябрь</v>
      </c>
      <c r="M88" s="23" t="str">
        <f t="shared" si="248"/>
        <v>ноябрь</v>
      </c>
      <c r="N88" s="23" t="str">
        <f t="shared" si="248"/>
        <v>декабрь</v>
      </c>
      <c r="O88" s="145" t="str">
        <f>O61</f>
        <v>Итого за 1-й год</v>
      </c>
      <c r="P88" s="145" t="str">
        <f>P61</f>
        <v>Среднемесячно за 1-й год</v>
      </c>
      <c r="Q88" s="23" t="str">
        <f t="shared" ref="Q88:AB88" si="249">Q$6</f>
        <v>январь</v>
      </c>
      <c r="R88" s="23" t="str">
        <f t="shared" si="249"/>
        <v>февраль</v>
      </c>
      <c r="S88" s="23" t="str">
        <f t="shared" si="249"/>
        <v>март</v>
      </c>
      <c r="T88" s="23" t="str">
        <f t="shared" si="249"/>
        <v>апрель</v>
      </c>
      <c r="U88" s="23" t="str">
        <f t="shared" si="249"/>
        <v>май</v>
      </c>
      <c r="V88" s="23" t="str">
        <f t="shared" si="249"/>
        <v>июнь</v>
      </c>
      <c r="W88" s="23" t="str">
        <f t="shared" si="249"/>
        <v>июль</v>
      </c>
      <c r="X88" s="23" t="str">
        <f t="shared" si="249"/>
        <v>август</v>
      </c>
      <c r="Y88" s="23" t="str">
        <f t="shared" si="249"/>
        <v>сентябрь</v>
      </c>
      <c r="Z88" s="23" t="str">
        <f t="shared" si="249"/>
        <v>октябрь</v>
      </c>
      <c r="AA88" s="23" t="str">
        <f t="shared" si="249"/>
        <v>ноябрь</v>
      </c>
      <c r="AB88" s="23" t="str">
        <f t="shared" si="249"/>
        <v>декабрь</v>
      </c>
      <c r="AC88" s="145" t="str">
        <f>AC61</f>
        <v>Итого за 2-й год</v>
      </c>
      <c r="AD88" s="145" t="str">
        <f>AD61</f>
        <v>Среднемесячно за 2-й год</v>
      </c>
      <c r="AE88" s="23" t="str">
        <f t="shared" ref="AE88:AP88" si="250">AE$6</f>
        <v>январь</v>
      </c>
      <c r="AF88" s="23" t="str">
        <f t="shared" si="250"/>
        <v>февраль</v>
      </c>
      <c r="AG88" s="23" t="str">
        <f t="shared" si="250"/>
        <v>март</v>
      </c>
      <c r="AH88" s="23" t="str">
        <f t="shared" si="250"/>
        <v>апрель</v>
      </c>
      <c r="AI88" s="23" t="str">
        <f t="shared" si="250"/>
        <v>май</v>
      </c>
      <c r="AJ88" s="23" t="str">
        <f t="shared" si="250"/>
        <v>июнь</v>
      </c>
      <c r="AK88" s="23" t="str">
        <f t="shared" si="250"/>
        <v>июль</v>
      </c>
      <c r="AL88" s="23" t="str">
        <f t="shared" si="250"/>
        <v>август</v>
      </c>
      <c r="AM88" s="23" t="str">
        <f t="shared" si="250"/>
        <v>сентябрь</v>
      </c>
      <c r="AN88" s="23" t="str">
        <f t="shared" si="250"/>
        <v>октябрь</v>
      </c>
      <c r="AO88" s="23" t="str">
        <f t="shared" si="250"/>
        <v>ноябрь</v>
      </c>
      <c r="AP88" s="23" t="str">
        <f t="shared" si="250"/>
        <v>декабрь</v>
      </c>
      <c r="AQ88" s="145" t="str">
        <f>AQ61</f>
        <v>Итого за 3-й год</v>
      </c>
      <c r="AR88" s="145" t="str">
        <f>AR61</f>
        <v>Среднемесячно за 3-й год</v>
      </c>
      <c r="AS88" s="158" t="str">
        <f>AS61</f>
        <v>Итого за три года</v>
      </c>
    </row>
    <row r="89" spans="1:46" s="24" customFormat="1" ht="12" thickTop="1" x14ac:dyDescent="0.15">
      <c r="A89" s="25"/>
      <c r="B89" s="57"/>
      <c r="C89" s="26"/>
      <c r="D89" s="26"/>
      <c r="E89" s="26"/>
      <c r="F89" s="26"/>
      <c r="G89" s="26"/>
      <c r="H89" s="26"/>
      <c r="I89" s="26"/>
      <c r="J89" s="26"/>
      <c r="O89" s="76"/>
      <c r="P89" s="76"/>
      <c r="Q89" s="26"/>
      <c r="R89" s="26"/>
      <c r="S89" s="26"/>
      <c r="T89" s="26"/>
      <c r="U89" s="26"/>
      <c r="V89" s="26"/>
      <c r="W89" s="26"/>
      <c r="X89" s="26"/>
      <c r="AC89" s="76"/>
      <c r="AD89" s="76"/>
      <c r="AE89" s="26"/>
      <c r="AF89" s="26"/>
      <c r="AG89" s="26"/>
      <c r="AH89" s="26"/>
      <c r="AI89" s="26"/>
      <c r="AJ89" s="26"/>
      <c r="AK89" s="26"/>
      <c r="AL89" s="26"/>
      <c r="AQ89" s="76"/>
      <c r="AR89" s="76"/>
    </row>
    <row r="90" spans="1:46" s="24" customFormat="1" ht="11" x14ac:dyDescent="0.15">
      <c r="A90" s="58" t="s">
        <v>12</v>
      </c>
      <c r="B90" s="32" t="s">
        <v>74</v>
      </c>
      <c r="C90" s="170">
        <f t="shared" ref="C90:N90" si="251">C43</f>
        <v>74250</v>
      </c>
      <c r="D90" s="170">
        <f t="shared" si="251"/>
        <v>683950</v>
      </c>
      <c r="E90" s="170">
        <f t="shared" si="251"/>
        <v>731470</v>
      </c>
      <c r="F90" s="170">
        <f t="shared" si="251"/>
        <v>731470</v>
      </c>
      <c r="G90" s="170">
        <f t="shared" si="251"/>
        <v>731470</v>
      </c>
      <c r="H90" s="170">
        <f t="shared" si="251"/>
        <v>731470</v>
      </c>
      <c r="I90" s="170">
        <f t="shared" si="251"/>
        <v>731470</v>
      </c>
      <c r="J90" s="170">
        <f t="shared" si="251"/>
        <v>731470</v>
      </c>
      <c r="K90" s="170">
        <f t="shared" si="251"/>
        <v>731470</v>
      </c>
      <c r="L90" s="170">
        <f t="shared" si="251"/>
        <v>731470</v>
      </c>
      <c r="M90" s="170">
        <f t="shared" si="251"/>
        <v>731470</v>
      </c>
      <c r="N90" s="170">
        <f t="shared" si="251"/>
        <v>731470</v>
      </c>
      <c r="O90" s="171">
        <f t="shared" ref="O90:O96" si="252">SUM(C90:N90)</f>
        <v>8072900</v>
      </c>
      <c r="P90" s="171">
        <f t="shared" ref="P90:P96" si="253">O90/12</f>
        <v>672741.66666666663</v>
      </c>
      <c r="Q90" s="170">
        <f t="shared" ref="Q90:AB90" si="254">Q43</f>
        <v>731470</v>
      </c>
      <c r="R90" s="170">
        <f t="shared" si="254"/>
        <v>731470</v>
      </c>
      <c r="S90" s="170">
        <f t="shared" si="254"/>
        <v>731470</v>
      </c>
      <c r="T90" s="170">
        <f t="shared" si="254"/>
        <v>731470</v>
      </c>
      <c r="U90" s="170">
        <f t="shared" si="254"/>
        <v>731470</v>
      </c>
      <c r="V90" s="170">
        <f t="shared" si="254"/>
        <v>731470</v>
      </c>
      <c r="W90" s="170">
        <f t="shared" si="254"/>
        <v>731470</v>
      </c>
      <c r="X90" s="170">
        <f t="shared" si="254"/>
        <v>731470</v>
      </c>
      <c r="Y90" s="170">
        <f t="shared" si="254"/>
        <v>731470</v>
      </c>
      <c r="Z90" s="170">
        <f t="shared" si="254"/>
        <v>731470</v>
      </c>
      <c r="AA90" s="170">
        <f t="shared" si="254"/>
        <v>731470</v>
      </c>
      <c r="AB90" s="170">
        <f t="shared" si="254"/>
        <v>731470</v>
      </c>
      <c r="AC90" s="171">
        <f t="shared" ref="AC90:AC96" si="255">SUM(Q90:AB90)</f>
        <v>8777640</v>
      </c>
      <c r="AD90" s="171">
        <f t="shared" ref="AD90:AD96" si="256">AC90/12</f>
        <v>731470</v>
      </c>
      <c r="AE90" s="170">
        <f t="shared" ref="AE90:AP90" si="257">AE43</f>
        <v>731470</v>
      </c>
      <c r="AF90" s="170">
        <f t="shared" si="257"/>
        <v>731470</v>
      </c>
      <c r="AG90" s="170">
        <f t="shared" si="257"/>
        <v>731470</v>
      </c>
      <c r="AH90" s="170">
        <f t="shared" si="257"/>
        <v>731470</v>
      </c>
      <c r="AI90" s="170">
        <f t="shared" si="257"/>
        <v>731470</v>
      </c>
      <c r="AJ90" s="170">
        <f t="shared" si="257"/>
        <v>731470</v>
      </c>
      <c r="AK90" s="170">
        <f t="shared" si="257"/>
        <v>731470</v>
      </c>
      <c r="AL90" s="170">
        <f t="shared" si="257"/>
        <v>731470</v>
      </c>
      <c r="AM90" s="170">
        <f t="shared" si="257"/>
        <v>731470</v>
      </c>
      <c r="AN90" s="170">
        <f t="shared" si="257"/>
        <v>731470</v>
      </c>
      <c r="AO90" s="170">
        <f t="shared" si="257"/>
        <v>731470</v>
      </c>
      <c r="AP90" s="170">
        <f t="shared" si="257"/>
        <v>731470</v>
      </c>
      <c r="AQ90" s="171">
        <f t="shared" ref="AQ90:AQ96" si="258">SUM(AE90:AP90)</f>
        <v>8777640</v>
      </c>
      <c r="AR90" s="171">
        <f t="shared" ref="AR90:AR96" si="259">AQ90/12</f>
        <v>731470</v>
      </c>
      <c r="AS90" s="172">
        <f t="shared" ref="AS90:AS95" si="260">O90+AC90+AQ90</f>
        <v>25628180</v>
      </c>
    </row>
    <row r="91" spans="1:46" s="24" customFormat="1" ht="11" x14ac:dyDescent="0.15">
      <c r="A91" s="31" t="str">
        <f>"- Себестоимость"</f>
        <v>- Себестоимость</v>
      </c>
      <c r="B91" s="32" t="s">
        <v>74</v>
      </c>
      <c r="C91" s="170">
        <f t="shared" ref="C91:N91" si="261">C48</f>
        <v>0</v>
      </c>
      <c r="D91" s="170">
        <f t="shared" si="261"/>
        <v>0</v>
      </c>
      <c r="E91" s="170">
        <f t="shared" si="261"/>
        <v>0</v>
      </c>
      <c r="F91" s="170">
        <f t="shared" si="261"/>
        <v>0</v>
      </c>
      <c r="G91" s="170">
        <f t="shared" si="261"/>
        <v>0</v>
      </c>
      <c r="H91" s="170">
        <f t="shared" si="261"/>
        <v>0</v>
      </c>
      <c r="I91" s="170">
        <f t="shared" si="261"/>
        <v>0</v>
      </c>
      <c r="J91" s="170">
        <f t="shared" si="261"/>
        <v>0</v>
      </c>
      <c r="K91" s="170">
        <f t="shared" si="261"/>
        <v>0</v>
      </c>
      <c r="L91" s="170">
        <f t="shared" si="261"/>
        <v>0</v>
      </c>
      <c r="M91" s="170">
        <f t="shared" si="261"/>
        <v>0</v>
      </c>
      <c r="N91" s="170">
        <f t="shared" si="261"/>
        <v>0</v>
      </c>
      <c r="O91" s="171">
        <f t="shared" si="252"/>
        <v>0</v>
      </c>
      <c r="P91" s="171">
        <f t="shared" si="253"/>
        <v>0</v>
      </c>
      <c r="Q91" s="170">
        <f t="shared" ref="Q91:AB91" si="262">Q48</f>
        <v>0</v>
      </c>
      <c r="R91" s="170">
        <f t="shared" si="262"/>
        <v>0</v>
      </c>
      <c r="S91" s="170">
        <f t="shared" si="262"/>
        <v>0</v>
      </c>
      <c r="T91" s="170">
        <f t="shared" si="262"/>
        <v>0</v>
      </c>
      <c r="U91" s="170">
        <f t="shared" si="262"/>
        <v>0</v>
      </c>
      <c r="V91" s="170">
        <f t="shared" si="262"/>
        <v>0</v>
      </c>
      <c r="W91" s="170">
        <f t="shared" si="262"/>
        <v>0</v>
      </c>
      <c r="X91" s="170">
        <f t="shared" si="262"/>
        <v>0</v>
      </c>
      <c r="Y91" s="170">
        <f t="shared" si="262"/>
        <v>0</v>
      </c>
      <c r="Z91" s="170">
        <f t="shared" si="262"/>
        <v>0</v>
      </c>
      <c r="AA91" s="170">
        <f t="shared" si="262"/>
        <v>0</v>
      </c>
      <c r="AB91" s="170">
        <f t="shared" si="262"/>
        <v>0</v>
      </c>
      <c r="AC91" s="171">
        <f t="shared" si="255"/>
        <v>0</v>
      </c>
      <c r="AD91" s="171">
        <f t="shared" si="256"/>
        <v>0</v>
      </c>
      <c r="AE91" s="170">
        <f t="shared" ref="AE91:AP91" si="263">AE48</f>
        <v>0</v>
      </c>
      <c r="AF91" s="170">
        <f t="shared" si="263"/>
        <v>0</v>
      </c>
      <c r="AG91" s="170">
        <f t="shared" si="263"/>
        <v>0</v>
      </c>
      <c r="AH91" s="170">
        <f t="shared" si="263"/>
        <v>0</v>
      </c>
      <c r="AI91" s="170">
        <f t="shared" si="263"/>
        <v>0</v>
      </c>
      <c r="AJ91" s="170">
        <f t="shared" si="263"/>
        <v>0</v>
      </c>
      <c r="AK91" s="170">
        <f t="shared" si="263"/>
        <v>0</v>
      </c>
      <c r="AL91" s="170">
        <f t="shared" si="263"/>
        <v>0</v>
      </c>
      <c r="AM91" s="170">
        <f t="shared" si="263"/>
        <v>0</v>
      </c>
      <c r="AN91" s="170">
        <f t="shared" si="263"/>
        <v>0</v>
      </c>
      <c r="AO91" s="170">
        <f t="shared" si="263"/>
        <v>0</v>
      </c>
      <c r="AP91" s="170">
        <f t="shared" si="263"/>
        <v>0</v>
      </c>
      <c r="AQ91" s="171">
        <f t="shared" si="258"/>
        <v>0</v>
      </c>
      <c r="AR91" s="171">
        <f t="shared" si="259"/>
        <v>0</v>
      </c>
      <c r="AS91" s="172">
        <f t="shared" si="260"/>
        <v>0</v>
      </c>
    </row>
    <row r="92" spans="1:46" s="24" customFormat="1" ht="11" x14ac:dyDescent="0.15">
      <c r="A92" s="58" t="s">
        <v>13</v>
      </c>
      <c r="B92" s="32" t="s">
        <v>74</v>
      </c>
      <c r="C92" s="170">
        <f>C90-C91</f>
        <v>74250</v>
      </c>
      <c r="D92" s="170">
        <f t="shared" ref="D92:N92" si="264">D90-D91</f>
        <v>683950</v>
      </c>
      <c r="E92" s="170">
        <f t="shared" si="264"/>
        <v>731470</v>
      </c>
      <c r="F92" s="170">
        <f t="shared" si="264"/>
        <v>731470</v>
      </c>
      <c r="G92" s="170">
        <f t="shared" si="264"/>
        <v>731470</v>
      </c>
      <c r="H92" s="170">
        <f t="shared" si="264"/>
        <v>731470</v>
      </c>
      <c r="I92" s="170">
        <f t="shared" si="264"/>
        <v>731470</v>
      </c>
      <c r="J92" s="170">
        <f t="shared" si="264"/>
        <v>731470</v>
      </c>
      <c r="K92" s="170">
        <f t="shared" si="264"/>
        <v>731470</v>
      </c>
      <c r="L92" s="170">
        <f t="shared" si="264"/>
        <v>731470</v>
      </c>
      <c r="M92" s="170">
        <f t="shared" si="264"/>
        <v>731470</v>
      </c>
      <c r="N92" s="170">
        <f t="shared" si="264"/>
        <v>731470</v>
      </c>
      <c r="O92" s="171">
        <f t="shared" si="252"/>
        <v>8072900</v>
      </c>
      <c r="P92" s="171">
        <f t="shared" si="253"/>
        <v>672741.66666666663</v>
      </c>
      <c r="Q92" s="170">
        <f>Q90-Q91</f>
        <v>731470</v>
      </c>
      <c r="R92" s="170">
        <f t="shared" ref="R92:AB92" si="265">R90-R91</f>
        <v>731470</v>
      </c>
      <c r="S92" s="170">
        <f t="shared" si="265"/>
        <v>731470</v>
      </c>
      <c r="T92" s="170">
        <f t="shared" si="265"/>
        <v>731470</v>
      </c>
      <c r="U92" s="170">
        <f t="shared" si="265"/>
        <v>731470</v>
      </c>
      <c r="V92" s="170">
        <f t="shared" si="265"/>
        <v>731470</v>
      </c>
      <c r="W92" s="170">
        <f t="shared" si="265"/>
        <v>731470</v>
      </c>
      <c r="X92" s="170">
        <f t="shared" si="265"/>
        <v>731470</v>
      </c>
      <c r="Y92" s="170">
        <f t="shared" si="265"/>
        <v>731470</v>
      </c>
      <c r="Z92" s="170">
        <f t="shared" si="265"/>
        <v>731470</v>
      </c>
      <c r="AA92" s="170">
        <f t="shared" si="265"/>
        <v>731470</v>
      </c>
      <c r="AB92" s="170">
        <f t="shared" si="265"/>
        <v>731470</v>
      </c>
      <c r="AC92" s="171">
        <f t="shared" si="255"/>
        <v>8777640</v>
      </c>
      <c r="AD92" s="171">
        <f t="shared" si="256"/>
        <v>731470</v>
      </c>
      <c r="AE92" s="170">
        <f>AE90-AE91</f>
        <v>731470</v>
      </c>
      <c r="AF92" s="170">
        <f t="shared" ref="AF92:AP92" si="266">AF90-AF91</f>
        <v>731470</v>
      </c>
      <c r="AG92" s="170">
        <f t="shared" si="266"/>
        <v>731470</v>
      </c>
      <c r="AH92" s="170">
        <f t="shared" si="266"/>
        <v>731470</v>
      </c>
      <c r="AI92" s="170">
        <f t="shared" si="266"/>
        <v>731470</v>
      </c>
      <c r="AJ92" s="170">
        <f t="shared" si="266"/>
        <v>731470</v>
      </c>
      <c r="AK92" s="170">
        <f t="shared" si="266"/>
        <v>731470</v>
      </c>
      <c r="AL92" s="170">
        <f t="shared" si="266"/>
        <v>731470</v>
      </c>
      <c r="AM92" s="170">
        <f t="shared" si="266"/>
        <v>731470</v>
      </c>
      <c r="AN92" s="170">
        <f t="shared" si="266"/>
        <v>731470</v>
      </c>
      <c r="AO92" s="170">
        <f t="shared" si="266"/>
        <v>731470</v>
      </c>
      <c r="AP92" s="170">
        <f t="shared" si="266"/>
        <v>731470</v>
      </c>
      <c r="AQ92" s="171">
        <f t="shared" si="258"/>
        <v>8777640</v>
      </c>
      <c r="AR92" s="171">
        <f t="shared" si="259"/>
        <v>731470</v>
      </c>
      <c r="AS92" s="172">
        <f t="shared" si="260"/>
        <v>25628180</v>
      </c>
    </row>
    <row r="93" spans="1:46" s="91" customFormat="1" ht="11" x14ac:dyDescent="0.15">
      <c r="A93" s="89" t="str">
        <f>"- Инвестиции"</f>
        <v>- Инвестиции</v>
      </c>
      <c r="B93" s="90" t="s">
        <v>74</v>
      </c>
      <c r="C93" s="173">
        <f t="shared" ref="C93:N93" si="267">C59</f>
        <v>640000</v>
      </c>
      <c r="D93" s="173">
        <f t="shared" si="267"/>
        <v>0</v>
      </c>
      <c r="E93" s="173">
        <f t="shared" si="267"/>
        <v>0</v>
      </c>
      <c r="F93" s="173">
        <f t="shared" si="267"/>
        <v>0</v>
      </c>
      <c r="G93" s="173">
        <f t="shared" si="267"/>
        <v>0</v>
      </c>
      <c r="H93" s="173">
        <f t="shared" si="267"/>
        <v>0</v>
      </c>
      <c r="I93" s="173">
        <f t="shared" si="267"/>
        <v>0</v>
      </c>
      <c r="J93" s="173">
        <f t="shared" si="267"/>
        <v>0</v>
      </c>
      <c r="K93" s="173">
        <f t="shared" si="267"/>
        <v>0</v>
      </c>
      <c r="L93" s="173">
        <f t="shared" si="267"/>
        <v>0</v>
      </c>
      <c r="M93" s="173">
        <f t="shared" si="267"/>
        <v>0</v>
      </c>
      <c r="N93" s="173">
        <f t="shared" si="267"/>
        <v>0</v>
      </c>
      <c r="O93" s="171">
        <f t="shared" si="252"/>
        <v>640000</v>
      </c>
      <c r="P93" s="171"/>
      <c r="Q93" s="173">
        <f t="shared" ref="Q93:AB93" si="268">Q59</f>
        <v>0</v>
      </c>
      <c r="R93" s="173">
        <f t="shared" si="268"/>
        <v>0</v>
      </c>
      <c r="S93" s="173">
        <f t="shared" si="268"/>
        <v>0</v>
      </c>
      <c r="T93" s="173">
        <f t="shared" si="268"/>
        <v>0</v>
      </c>
      <c r="U93" s="173">
        <f t="shared" si="268"/>
        <v>0</v>
      </c>
      <c r="V93" s="173">
        <f t="shared" si="268"/>
        <v>0</v>
      </c>
      <c r="W93" s="173">
        <f t="shared" si="268"/>
        <v>0</v>
      </c>
      <c r="X93" s="173">
        <f t="shared" si="268"/>
        <v>0</v>
      </c>
      <c r="Y93" s="173">
        <f t="shared" si="268"/>
        <v>0</v>
      </c>
      <c r="Z93" s="173">
        <f t="shared" si="268"/>
        <v>0</v>
      </c>
      <c r="AA93" s="173">
        <f t="shared" si="268"/>
        <v>0</v>
      </c>
      <c r="AB93" s="173">
        <f t="shared" si="268"/>
        <v>0</v>
      </c>
      <c r="AC93" s="171">
        <f t="shared" si="255"/>
        <v>0</v>
      </c>
      <c r="AD93" s="171"/>
      <c r="AE93" s="173">
        <f t="shared" ref="AE93:AP93" si="269">AE59</f>
        <v>0</v>
      </c>
      <c r="AF93" s="173">
        <f t="shared" si="269"/>
        <v>0</v>
      </c>
      <c r="AG93" s="173">
        <f t="shared" si="269"/>
        <v>0</v>
      </c>
      <c r="AH93" s="173">
        <f t="shared" si="269"/>
        <v>0</v>
      </c>
      <c r="AI93" s="173">
        <f t="shared" si="269"/>
        <v>0</v>
      </c>
      <c r="AJ93" s="173">
        <f t="shared" si="269"/>
        <v>0</v>
      </c>
      <c r="AK93" s="173">
        <f t="shared" si="269"/>
        <v>0</v>
      </c>
      <c r="AL93" s="173">
        <f t="shared" si="269"/>
        <v>0</v>
      </c>
      <c r="AM93" s="173">
        <f t="shared" si="269"/>
        <v>0</v>
      </c>
      <c r="AN93" s="173">
        <f t="shared" si="269"/>
        <v>0</v>
      </c>
      <c r="AO93" s="173">
        <f t="shared" si="269"/>
        <v>0</v>
      </c>
      <c r="AP93" s="173">
        <f t="shared" si="269"/>
        <v>0</v>
      </c>
      <c r="AQ93" s="171">
        <f t="shared" si="258"/>
        <v>0</v>
      </c>
      <c r="AR93" s="171"/>
      <c r="AS93" s="172">
        <f t="shared" si="260"/>
        <v>640000</v>
      </c>
    </row>
    <row r="94" spans="1:46" s="24" customFormat="1" ht="11" x14ac:dyDescent="0.15">
      <c r="A94" s="31" t="str">
        <f>"- Текущие затраты"</f>
        <v>- Текущие затраты</v>
      </c>
      <c r="B94" s="32" t="s">
        <v>74</v>
      </c>
      <c r="C94" s="170">
        <f>C85</f>
        <v>94450</v>
      </c>
      <c r="D94" s="170">
        <f t="shared" ref="D94:N94" si="270">D85</f>
        <v>98200</v>
      </c>
      <c r="E94" s="170">
        <f t="shared" si="270"/>
        <v>102700</v>
      </c>
      <c r="F94" s="170">
        <f t="shared" si="270"/>
        <v>105700</v>
      </c>
      <c r="G94" s="170">
        <f t="shared" si="270"/>
        <v>105700</v>
      </c>
      <c r="H94" s="170">
        <f t="shared" si="270"/>
        <v>105700</v>
      </c>
      <c r="I94" s="170">
        <f t="shared" si="270"/>
        <v>105700</v>
      </c>
      <c r="J94" s="170">
        <f t="shared" si="270"/>
        <v>105700</v>
      </c>
      <c r="K94" s="170">
        <f t="shared" si="270"/>
        <v>105700</v>
      </c>
      <c r="L94" s="170">
        <f t="shared" si="270"/>
        <v>105700</v>
      </c>
      <c r="M94" s="170">
        <f t="shared" si="270"/>
        <v>105700</v>
      </c>
      <c r="N94" s="170">
        <f t="shared" si="270"/>
        <v>105700</v>
      </c>
      <c r="O94" s="171">
        <f t="shared" si="252"/>
        <v>1246650</v>
      </c>
      <c r="P94" s="171">
        <f t="shared" si="253"/>
        <v>103887.5</v>
      </c>
      <c r="Q94" s="170">
        <f>Q85</f>
        <v>105700</v>
      </c>
      <c r="R94" s="170">
        <f t="shared" ref="R94:AB94" si="271">R85</f>
        <v>105700</v>
      </c>
      <c r="S94" s="170">
        <f t="shared" si="271"/>
        <v>105700</v>
      </c>
      <c r="T94" s="170">
        <f t="shared" si="271"/>
        <v>105700</v>
      </c>
      <c r="U94" s="170">
        <f t="shared" si="271"/>
        <v>105700</v>
      </c>
      <c r="V94" s="170">
        <f t="shared" si="271"/>
        <v>105700</v>
      </c>
      <c r="W94" s="170">
        <f t="shared" si="271"/>
        <v>105700</v>
      </c>
      <c r="X94" s="170">
        <f t="shared" si="271"/>
        <v>105700</v>
      </c>
      <c r="Y94" s="170">
        <f t="shared" si="271"/>
        <v>105700</v>
      </c>
      <c r="Z94" s="170">
        <f t="shared" si="271"/>
        <v>105700</v>
      </c>
      <c r="AA94" s="170">
        <f t="shared" si="271"/>
        <v>105700</v>
      </c>
      <c r="AB94" s="170">
        <f t="shared" si="271"/>
        <v>105700</v>
      </c>
      <c r="AC94" s="171">
        <f t="shared" si="255"/>
        <v>1268400</v>
      </c>
      <c r="AD94" s="171">
        <f t="shared" si="256"/>
        <v>105700</v>
      </c>
      <c r="AE94" s="170">
        <f>AE85</f>
        <v>105700</v>
      </c>
      <c r="AF94" s="170">
        <f t="shared" ref="AF94:AP94" si="272">AF85</f>
        <v>105700</v>
      </c>
      <c r="AG94" s="170">
        <f t="shared" si="272"/>
        <v>105700</v>
      </c>
      <c r="AH94" s="170">
        <f t="shared" si="272"/>
        <v>105700</v>
      </c>
      <c r="AI94" s="170">
        <f t="shared" si="272"/>
        <v>105700</v>
      </c>
      <c r="AJ94" s="170">
        <f t="shared" si="272"/>
        <v>105700</v>
      </c>
      <c r="AK94" s="170">
        <f t="shared" si="272"/>
        <v>105700</v>
      </c>
      <c r="AL94" s="170">
        <f t="shared" si="272"/>
        <v>105700</v>
      </c>
      <c r="AM94" s="170">
        <f t="shared" si="272"/>
        <v>105700</v>
      </c>
      <c r="AN94" s="170">
        <f t="shared" si="272"/>
        <v>105700</v>
      </c>
      <c r="AO94" s="170">
        <f t="shared" si="272"/>
        <v>105700</v>
      </c>
      <c r="AP94" s="170">
        <f t="shared" si="272"/>
        <v>105700</v>
      </c>
      <c r="AQ94" s="171">
        <f t="shared" si="258"/>
        <v>1268400</v>
      </c>
      <c r="AR94" s="171">
        <f t="shared" si="259"/>
        <v>105700</v>
      </c>
      <c r="AS94" s="172">
        <f t="shared" si="260"/>
        <v>3783450</v>
      </c>
    </row>
    <row r="95" spans="1:46" s="24" customFormat="1" ht="11" x14ac:dyDescent="0.15">
      <c r="A95" s="88" t="s">
        <v>46</v>
      </c>
      <c r="B95" s="32" t="s">
        <v>74</v>
      </c>
      <c r="C95" s="170">
        <f>C92-C93-C94</f>
        <v>-660200</v>
      </c>
      <c r="D95" s="170">
        <f>D92-D93-D94</f>
        <v>585750</v>
      </c>
      <c r="E95" s="170">
        <f t="shared" ref="E95:N95" si="273">E92-E93-E94</f>
        <v>628770</v>
      </c>
      <c r="F95" s="170">
        <f t="shared" si="273"/>
        <v>625770</v>
      </c>
      <c r="G95" s="170">
        <f t="shared" si="273"/>
        <v>625770</v>
      </c>
      <c r="H95" s="170">
        <f t="shared" si="273"/>
        <v>625770</v>
      </c>
      <c r="I95" s="170">
        <f t="shared" si="273"/>
        <v>625770</v>
      </c>
      <c r="J95" s="170">
        <f t="shared" si="273"/>
        <v>625770</v>
      </c>
      <c r="K95" s="170">
        <f t="shared" si="273"/>
        <v>625770</v>
      </c>
      <c r="L95" s="170">
        <f t="shared" si="273"/>
        <v>625770</v>
      </c>
      <c r="M95" s="170">
        <f t="shared" si="273"/>
        <v>625770</v>
      </c>
      <c r="N95" s="170">
        <f t="shared" si="273"/>
        <v>625770</v>
      </c>
      <c r="O95" s="171">
        <f t="shared" si="252"/>
        <v>6186250</v>
      </c>
      <c r="P95" s="171">
        <f t="shared" si="253"/>
        <v>515520.83333333331</v>
      </c>
      <c r="Q95" s="170">
        <f>Q92-Q93-Q94</f>
        <v>625770</v>
      </c>
      <c r="R95" s="170">
        <f>R92-R93-R94</f>
        <v>625770</v>
      </c>
      <c r="S95" s="170">
        <f t="shared" ref="S95:AB95" si="274">S92-S93-S94</f>
        <v>625770</v>
      </c>
      <c r="T95" s="170">
        <f t="shared" si="274"/>
        <v>625770</v>
      </c>
      <c r="U95" s="170">
        <f t="shared" si="274"/>
        <v>625770</v>
      </c>
      <c r="V95" s="170">
        <f t="shared" si="274"/>
        <v>625770</v>
      </c>
      <c r="W95" s="170">
        <f t="shared" si="274"/>
        <v>625770</v>
      </c>
      <c r="X95" s="170">
        <f t="shared" si="274"/>
        <v>625770</v>
      </c>
      <c r="Y95" s="170">
        <f t="shared" si="274"/>
        <v>625770</v>
      </c>
      <c r="Z95" s="170">
        <f t="shared" si="274"/>
        <v>625770</v>
      </c>
      <c r="AA95" s="170">
        <f t="shared" si="274"/>
        <v>625770</v>
      </c>
      <c r="AB95" s="170">
        <f t="shared" si="274"/>
        <v>625770</v>
      </c>
      <c r="AC95" s="171">
        <f t="shared" si="255"/>
        <v>7509240</v>
      </c>
      <c r="AD95" s="171">
        <f t="shared" si="256"/>
        <v>625770</v>
      </c>
      <c r="AE95" s="170">
        <f>AE92-AE93-AE94</f>
        <v>625770</v>
      </c>
      <c r="AF95" s="170">
        <f>AF92-AF93-AF94</f>
        <v>625770</v>
      </c>
      <c r="AG95" s="170">
        <f t="shared" ref="AG95:AP95" si="275">AG92-AG93-AG94</f>
        <v>625770</v>
      </c>
      <c r="AH95" s="170">
        <f t="shared" si="275"/>
        <v>625770</v>
      </c>
      <c r="AI95" s="170">
        <f t="shared" si="275"/>
        <v>625770</v>
      </c>
      <c r="AJ95" s="170">
        <f t="shared" si="275"/>
        <v>625770</v>
      </c>
      <c r="AK95" s="170">
        <f t="shared" si="275"/>
        <v>625770</v>
      </c>
      <c r="AL95" s="170">
        <f t="shared" si="275"/>
        <v>625770</v>
      </c>
      <c r="AM95" s="170">
        <f t="shared" si="275"/>
        <v>625770</v>
      </c>
      <c r="AN95" s="170">
        <f t="shared" si="275"/>
        <v>625770</v>
      </c>
      <c r="AO95" s="170">
        <f t="shared" si="275"/>
        <v>625770</v>
      </c>
      <c r="AP95" s="170">
        <f t="shared" si="275"/>
        <v>625770</v>
      </c>
      <c r="AQ95" s="171">
        <f t="shared" si="258"/>
        <v>7509240</v>
      </c>
      <c r="AR95" s="171">
        <f t="shared" si="259"/>
        <v>625770</v>
      </c>
      <c r="AS95" s="172">
        <f t="shared" si="260"/>
        <v>21204730</v>
      </c>
    </row>
    <row r="96" spans="1:46" s="24" customFormat="1" ht="11" x14ac:dyDescent="0.15">
      <c r="A96" s="88" t="s">
        <v>51</v>
      </c>
      <c r="B96" s="32" t="s">
        <v>74</v>
      </c>
      <c r="C96" s="170">
        <f>C92-C94</f>
        <v>-20200</v>
      </c>
      <c r="D96" s="170">
        <f t="shared" ref="D96:AB96" si="276">D92-D94</f>
        <v>585750</v>
      </c>
      <c r="E96" s="170">
        <f t="shared" si="276"/>
        <v>628770</v>
      </c>
      <c r="F96" s="170">
        <f t="shared" si="276"/>
        <v>625770</v>
      </c>
      <c r="G96" s="170">
        <f t="shared" si="276"/>
        <v>625770</v>
      </c>
      <c r="H96" s="170">
        <f t="shared" si="276"/>
        <v>625770</v>
      </c>
      <c r="I96" s="170">
        <f t="shared" si="276"/>
        <v>625770</v>
      </c>
      <c r="J96" s="170">
        <f t="shared" si="276"/>
        <v>625770</v>
      </c>
      <c r="K96" s="170">
        <f t="shared" si="276"/>
        <v>625770</v>
      </c>
      <c r="L96" s="170">
        <f t="shared" si="276"/>
        <v>625770</v>
      </c>
      <c r="M96" s="170">
        <f t="shared" si="276"/>
        <v>625770</v>
      </c>
      <c r="N96" s="170">
        <f t="shared" si="276"/>
        <v>625770</v>
      </c>
      <c r="O96" s="171">
        <f t="shared" si="252"/>
        <v>6826250</v>
      </c>
      <c r="P96" s="171">
        <f t="shared" si="253"/>
        <v>568854.16666666663</v>
      </c>
      <c r="Q96" s="170">
        <f t="shared" si="276"/>
        <v>625770</v>
      </c>
      <c r="R96" s="170">
        <f t="shared" si="276"/>
        <v>625770</v>
      </c>
      <c r="S96" s="170">
        <f t="shared" si="276"/>
        <v>625770</v>
      </c>
      <c r="T96" s="170">
        <f t="shared" si="276"/>
        <v>625770</v>
      </c>
      <c r="U96" s="170">
        <f t="shared" si="276"/>
        <v>625770</v>
      </c>
      <c r="V96" s="170">
        <f t="shared" si="276"/>
        <v>625770</v>
      </c>
      <c r="W96" s="170">
        <f t="shared" si="276"/>
        <v>625770</v>
      </c>
      <c r="X96" s="170">
        <f t="shared" si="276"/>
        <v>625770</v>
      </c>
      <c r="Y96" s="170">
        <f t="shared" si="276"/>
        <v>625770</v>
      </c>
      <c r="Z96" s="170">
        <f t="shared" si="276"/>
        <v>625770</v>
      </c>
      <c r="AA96" s="170">
        <f t="shared" si="276"/>
        <v>625770</v>
      </c>
      <c r="AB96" s="170">
        <f t="shared" si="276"/>
        <v>625770</v>
      </c>
      <c r="AC96" s="171">
        <f t="shared" si="255"/>
        <v>7509240</v>
      </c>
      <c r="AD96" s="171">
        <f t="shared" si="256"/>
        <v>625770</v>
      </c>
      <c r="AE96" s="170">
        <f t="shared" ref="AE96:AP96" si="277">AE92-AE94</f>
        <v>625770</v>
      </c>
      <c r="AF96" s="170">
        <f t="shared" si="277"/>
        <v>625770</v>
      </c>
      <c r="AG96" s="170">
        <f t="shared" si="277"/>
        <v>625770</v>
      </c>
      <c r="AH96" s="170">
        <f t="shared" si="277"/>
        <v>625770</v>
      </c>
      <c r="AI96" s="170">
        <f t="shared" si="277"/>
        <v>625770</v>
      </c>
      <c r="AJ96" s="170">
        <f t="shared" si="277"/>
        <v>625770</v>
      </c>
      <c r="AK96" s="170">
        <f t="shared" si="277"/>
        <v>625770</v>
      </c>
      <c r="AL96" s="170">
        <f t="shared" si="277"/>
        <v>625770</v>
      </c>
      <c r="AM96" s="170">
        <f t="shared" si="277"/>
        <v>625770</v>
      </c>
      <c r="AN96" s="170">
        <f t="shared" si="277"/>
        <v>625770</v>
      </c>
      <c r="AO96" s="170">
        <f t="shared" si="277"/>
        <v>625770</v>
      </c>
      <c r="AP96" s="170">
        <f t="shared" si="277"/>
        <v>625770</v>
      </c>
      <c r="AQ96" s="171">
        <f t="shared" si="258"/>
        <v>7509240</v>
      </c>
      <c r="AR96" s="171">
        <f t="shared" si="259"/>
        <v>625770</v>
      </c>
      <c r="AS96" s="174"/>
    </row>
    <row r="97" spans="1:46" s="24" customFormat="1" ht="11" x14ac:dyDescent="0.15">
      <c r="A97" s="31" t="str">
        <f>"- Прибыль (убытки) накопительным итогом"</f>
        <v>- Прибыль (убытки) накопительным итогом</v>
      </c>
      <c r="B97" s="32" t="s">
        <v>74</v>
      </c>
      <c r="C97" s="170">
        <f>C95+IF(ISNUMBER(B97),B97,0)</f>
        <v>-660200</v>
      </c>
      <c r="D97" s="170">
        <f>D95+IF(ISNUMBER(C97),C97,0)</f>
        <v>-74450</v>
      </c>
      <c r="E97" s="170">
        <f t="shared" ref="E97:N97" si="278">E95+IF(ISNUMBER(D97),D97,0)</f>
        <v>554320</v>
      </c>
      <c r="F97" s="170">
        <f t="shared" si="278"/>
        <v>1180090</v>
      </c>
      <c r="G97" s="170">
        <f t="shared" si="278"/>
        <v>1805860</v>
      </c>
      <c r="H97" s="170">
        <f t="shared" si="278"/>
        <v>2431630</v>
      </c>
      <c r="I97" s="170">
        <f t="shared" si="278"/>
        <v>3057400</v>
      </c>
      <c r="J97" s="170">
        <f t="shared" si="278"/>
        <v>3683170</v>
      </c>
      <c r="K97" s="170">
        <f t="shared" si="278"/>
        <v>4308940</v>
      </c>
      <c r="L97" s="170">
        <f t="shared" si="278"/>
        <v>4934710</v>
      </c>
      <c r="M97" s="170">
        <f t="shared" si="278"/>
        <v>5560480</v>
      </c>
      <c r="N97" s="170">
        <f t="shared" si="278"/>
        <v>6186250</v>
      </c>
      <c r="O97" s="171">
        <f>N97</f>
        <v>6186250</v>
      </c>
      <c r="P97" s="171"/>
      <c r="Q97" s="170">
        <f>Q95+IF(ISNUMBER(N97),N97,0)</f>
        <v>6812020</v>
      </c>
      <c r="R97" s="170">
        <f t="shared" ref="R97:AB97" si="279">R95+IF(ISNUMBER(Q97),Q97,0)</f>
        <v>7437790</v>
      </c>
      <c r="S97" s="170">
        <f t="shared" si="279"/>
        <v>8063560</v>
      </c>
      <c r="T97" s="170">
        <f t="shared" si="279"/>
        <v>8689330</v>
      </c>
      <c r="U97" s="170">
        <f t="shared" si="279"/>
        <v>9315100</v>
      </c>
      <c r="V97" s="170">
        <f t="shared" si="279"/>
        <v>9940870</v>
      </c>
      <c r="W97" s="170">
        <f t="shared" si="279"/>
        <v>10566640</v>
      </c>
      <c r="X97" s="170">
        <f t="shared" si="279"/>
        <v>11192410</v>
      </c>
      <c r="Y97" s="170">
        <f t="shared" si="279"/>
        <v>11818180</v>
      </c>
      <c r="Z97" s="170">
        <f t="shared" si="279"/>
        <v>12443950</v>
      </c>
      <c r="AA97" s="170">
        <f t="shared" si="279"/>
        <v>13069720</v>
      </c>
      <c r="AB97" s="170">
        <f t="shared" si="279"/>
        <v>13695490</v>
      </c>
      <c r="AC97" s="171">
        <f>AB97</f>
        <v>13695490</v>
      </c>
      <c r="AD97" s="171"/>
      <c r="AE97" s="170">
        <f>AE95+IF(ISNUMBER(AB97),AB97,0)</f>
        <v>14321260</v>
      </c>
      <c r="AF97" s="170">
        <f t="shared" ref="AF97:AP97" si="280">AF95+IF(ISNUMBER(AE97),AE97,0)</f>
        <v>14947030</v>
      </c>
      <c r="AG97" s="170">
        <f t="shared" si="280"/>
        <v>15572800</v>
      </c>
      <c r="AH97" s="170">
        <f t="shared" si="280"/>
        <v>16198570</v>
      </c>
      <c r="AI97" s="170">
        <f t="shared" si="280"/>
        <v>16824340</v>
      </c>
      <c r="AJ97" s="170">
        <f t="shared" si="280"/>
        <v>17450110</v>
      </c>
      <c r="AK97" s="170">
        <f t="shared" si="280"/>
        <v>18075880</v>
      </c>
      <c r="AL97" s="170">
        <f t="shared" si="280"/>
        <v>18701650</v>
      </c>
      <c r="AM97" s="170">
        <f t="shared" si="280"/>
        <v>19327420</v>
      </c>
      <c r="AN97" s="170">
        <f t="shared" si="280"/>
        <v>19953190</v>
      </c>
      <c r="AO97" s="170">
        <f t="shared" si="280"/>
        <v>20578960</v>
      </c>
      <c r="AP97" s="170">
        <f t="shared" si="280"/>
        <v>21204730</v>
      </c>
      <c r="AQ97" s="171">
        <f>AP97</f>
        <v>21204730</v>
      </c>
      <c r="AR97" s="171"/>
      <c r="AS97" s="174"/>
    </row>
    <row r="98" spans="1:46" s="24" customFormat="1" ht="11" x14ac:dyDescent="0.15">
      <c r="A98" s="59"/>
      <c r="B98" s="60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149"/>
      <c r="P98" s="149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149"/>
      <c r="AD98" s="149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149"/>
      <c r="AR98" s="149"/>
      <c r="AS98" s="59"/>
    </row>
    <row r="99" spans="1:46" s="24" customFormat="1" ht="12" thickBot="1" x14ac:dyDescent="0.2">
      <c r="O99" s="76"/>
      <c r="P99" s="76"/>
      <c r="AC99" s="76"/>
      <c r="AD99" s="76"/>
      <c r="AQ99" s="76"/>
      <c r="AR99" s="76"/>
    </row>
    <row r="100" spans="1:46" s="24" customFormat="1" ht="24" thickTop="1" thickBot="1" x14ac:dyDescent="0.2">
      <c r="A100" s="22" t="s">
        <v>14</v>
      </c>
      <c r="B100" s="23"/>
      <c r="C100" s="23" t="str">
        <f t="shared" ref="C100:N100" si="281">C$6</f>
        <v>январь</v>
      </c>
      <c r="D100" s="23" t="str">
        <f t="shared" si="281"/>
        <v>февраль</v>
      </c>
      <c r="E100" s="23" t="str">
        <f t="shared" si="281"/>
        <v>март</v>
      </c>
      <c r="F100" s="23" t="str">
        <f t="shared" si="281"/>
        <v>апрель</v>
      </c>
      <c r="G100" s="23" t="str">
        <f t="shared" si="281"/>
        <v>май</v>
      </c>
      <c r="H100" s="23" t="str">
        <f t="shared" si="281"/>
        <v>июнь</v>
      </c>
      <c r="I100" s="23" t="str">
        <f t="shared" si="281"/>
        <v>июль</v>
      </c>
      <c r="J100" s="23" t="str">
        <f t="shared" si="281"/>
        <v>август</v>
      </c>
      <c r="K100" s="23" t="str">
        <f t="shared" si="281"/>
        <v>сентябрь</v>
      </c>
      <c r="L100" s="23" t="str">
        <f t="shared" si="281"/>
        <v>октябрь</v>
      </c>
      <c r="M100" s="23" t="str">
        <f t="shared" si="281"/>
        <v>ноябрь</v>
      </c>
      <c r="N100" s="23" t="str">
        <f t="shared" si="281"/>
        <v>декабрь</v>
      </c>
      <c r="O100" s="145" t="str">
        <f>O88</f>
        <v>Итого за 1-й год</v>
      </c>
      <c r="P100" s="145" t="str">
        <f>P88</f>
        <v>Среднемесячно за 1-й год</v>
      </c>
      <c r="Q100" s="23" t="str">
        <f t="shared" ref="Q100:AB100" si="282">Q$6</f>
        <v>январь</v>
      </c>
      <c r="R100" s="23" t="str">
        <f t="shared" si="282"/>
        <v>февраль</v>
      </c>
      <c r="S100" s="23" t="str">
        <f t="shared" si="282"/>
        <v>март</v>
      </c>
      <c r="T100" s="23" t="str">
        <f t="shared" si="282"/>
        <v>апрель</v>
      </c>
      <c r="U100" s="23" t="str">
        <f t="shared" si="282"/>
        <v>май</v>
      </c>
      <c r="V100" s="23" t="str">
        <f t="shared" si="282"/>
        <v>июнь</v>
      </c>
      <c r="W100" s="23" t="str">
        <f t="shared" si="282"/>
        <v>июль</v>
      </c>
      <c r="X100" s="23" t="str">
        <f t="shared" si="282"/>
        <v>август</v>
      </c>
      <c r="Y100" s="23" t="str">
        <f t="shared" si="282"/>
        <v>сентябрь</v>
      </c>
      <c r="Z100" s="23" t="str">
        <f t="shared" si="282"/>
        <v>октябрь</v>
      </c>
      <c r="AA100" s="23" t="str">
        <f t="shared" si="282"/>
        <v>ноябрь</v>
      </c>
      <c r="AB100" s="23" t="str">
        <f t="shared" si="282"/>
        <v>декабрь</v>
      </c>
      <c r="AC100" s="145" t="str">
        <f>AC88</f>
        <v>Итого за 2-й год</v>
      </c>
      <c r="AD100" s="145" t="str">
        <f>AD88</f>
        <v>Среднемесячно за 2-й год</v>
      </c>
      <c r="AE100" s="23" t="str">
        <f t="shared" ref="AE100:AP100" si="283">AE$6</f>
        <v>январь</v>
      </c>
      <c r="AF100" s="23" t="str">
        <f t="shared" si="283"/>
        <v>февраль</v>
      </c>
      <c r="AG100" s="23" t="str">
        <f t="shared" si="283"/>
        <v>март</v>
      </c>
      <c r="AH100" s="23" t="str">
        <f t="shared" si="283"/>
        <v>апрель</v>
      </c>
      <c r="AI100" s="23" t="str">
        <f t="shared" si="283"/>
        <v>май</v>
      </c>
      <c r="AJ100" s="23" t="str">
        <f t="shared" si="283"/>
        <v>июнь</v>
      </c>
      <c r="AK100" s="23" t="str">
        <f t="shared" si="283"/>
        <v>июль</v>
      </c>
      <c r="AL100" s="23" t="str">
        <f t="shared" si="283"/>
        <v>август</v>
      </c>
      <c r="AM100" s="23" t="str">
        <f t="shared" si="283"/>
        <v>сентябрь</v>
      </c>
      <c r="AN100" s="23" t="str">
        <f t="shared" si="283"/>
        <v>октябрь</v>
      </c>
      <c r="AO100" s="23" t="str">
        <f t="shared" si="283"/>
        <v>ноябрь</v>
      </c>
      <c r="AP100" s="23" t="str">
        <f t="shared" si="283"/>
        <v>декабрь</v>
      </c>
      <c r="AQ100" s="145" t="str">
        <f>AQ88</f>
        <v>Итого за 3-й год</v>
      </c>
      <c r="AR100" s="145" t="str">
        <f>AR88</f>
        <v>Среднемесячно за 3-й год</v>
      </c>
      <c r="AS100" s="158" t="str">
        <f>AS88</f>
        <v>Итого за три года</v>
      </c>
    </row>
    <row r="101" spans="1:46" s="24" customFormat="1" ht="12" thickTop="1" x14ac:dyDescent="0.15">
      <c r="A101" s="25"/>
      <c r="B101" s="57"/>
      <c r="C101" s="26"/>
      <c r="D101" s="26"/>
      <c r="E101" s="26"/>
      <c r="F101" s="26"/>
      <c r="G101" s="26"/>
      <c r="H101" s="26"/>
      <c r="I101" s="26"/>
      <c r="J101" s="26"/>
      <c r="O101" s="76"/>
      <c r="P101" s="76"/>
      <c r="Q101" s="26"/>
      <c r="R101" s="26"/>
      <c r="S101" s="26"/>
      <c r="T101" s="26"/>
      <c r="U101" s="26"/>
      <c r="V101" s="26"/>
      <c r="W101" s="26"/>
      <c r="X101" s="26"/>
      <c r="AC101" s="76"/>
      <c r="AD101" s="76"/>
      <c r="AE101" s="26"/>
      <c r="AF101" s="26"/>
      <c r="AG101" s="26"/>
      <c r="AH101" s="26"/>
      <c r="AI101" s="26"/>
      <c r="AJ101" s="26"/>
      <c r="AK101" s="26"/>
      <c r="AL101" s="26"/>
      <c r="AQ101" s="76"/>
      <c r="AR101" s="76"/>
    </row>
    <row r="102" spans="1:46" s="43" customFormat="1" ht="11" x14ac:dyDescent="0.15">
      <c r="A102" s="62" t="s">
        <v>15</v>
      </c>
      <c r="B102" s="32" t="s">
        <v>74</v>
      </c>
      <c r="C102" s="44">
        <f t="shared" ref="C102:N102" si="284">C90</f>
        <v>74250</v>
      </c>
      <c r="D102" s="44">
        <f t="shared" si="284"/>
        <v>683950</v>
      </c>
      <c r="E102" s="44">
        <f t="shared" si="284"/>
        <v>731470</v>
      </c>
      <c r="F102" s="44">
        <f t="shared" si="284"/>
        <v>731470</v>
      </c>
      <c r="G102" s="44">
        <f t="shared" si="284"/>
        <v>731470</v>
      </c>
      <c r="H102" s="44">
        <f t="shared" si="284"/>
        <v>731470</v>
      </c>
      <c r="I102" s="44">
        <f t="shared" si="284"/>
        <v>731470</v>
      </c>
      <c r="J102" s="44">
        <f t="shared" si="284"/>
        <v>731470</v>
      </c>
      <c r="K102" s="44">
        <f t="shared" si="284"/>
        <v>731470</v>
      </c>
      <c r="L102" s="44">
        <f t="shared" si="284"/>
        <v>731470</v>
      </c>
      <c r="M102" s="44">
        <f t="shared" si="284"/>
        <v>731470</v>
      </c>
      <c r="N102" s="44">
        <f t="shared" si="284"/>
        <v>731470</v>
      </c>
      <c r="O102" s="73">
        <f>SUM(C102:N102)</f>
        <v>8072900</v>
      </c>
      <c r="P102" s="73">
        <f>O102/12</f>
        <v>672741.66666666663</v>
      </c>
      <c r="Q102" s="44">
        <f t="shared" ref="Q102:AB102" si="285">Q90</f>
        <v>731470</v>
      </c>
      <c r="R102" s="44">
        <f t="shared" si="285"/>
        <v>731470</v>
      </c>
      <c r="S102" s="44">
        <f t="shared" si="285"/>
        <v>731470</v>
      </c>
      <c r="T102" s="44">
        <f t="shared" si="285"/>
        <v>731470</v>
      </c>
      <c r="U102" s="44">
        <f t="shared" si="285"/>
        <v>731470</v>
      </c>
      <c r="V102" s="44">
        <f t="shared" si="285"/>
        <v>731470</v>
      </c>
      <c r="W102" s="44">
        <f t="shared" si="285"/>
        <v>731470</v>
      </c>
      <c r="X102" s="44">
        <f t="shared" si="285"/>
        <v>731470</v>
      </c>
      <c r="Y102" s="44">
        <f t="shared" si="285"/>
        <v>731470</v>
      </c>
      <c r="Z102" s="44">
        <f t="shared" si="285"/>
        <v>731470</v>
      </c>
      <c r="AA102" s="44">
        <f t="shared" si="285"/>
        <v>731470</v>
      </c>
      <c r="AB102" s="44">
        <f t="shared" si="285"/>
        <v>731470</v>
      </c>
      <c r="AC102" s="73">
        <f>SUM(Q102:AB102)</f>
        <v>8777640</v>
      </c>
      <c r="AD102" s="73">
        <f>AC102/12</f>
        <v>731470</v>
      </c>
      <c r="AE102" s="44">
        <f t="shared" ref="AE102:AP102" si="286">AE90</f>
        <v>731470</v>
      </c>
      <c r="AF102" s="44">
        <f t="shared" si="286"/>
        <v>731470</v>
      </c>
      <c r="AG102" s="44">
        <f t="shared" si="286"/>
        <v>731470</v>
      </c>
      <c r="AH102" s="44">
        <f t="shared" si="286"/>
        <v>731470</v>
      </c>
      <c r="AI102" s="44">
        <f t="shared" si="286"/>
        <v>731470</v>
      </c>
      <c r="AJ102" s="44">
        <f t="shared" si="286"/>
        <v>731470</v>
      </c>
      <c r="AK102" s="44">
        <f t="shared" si="286"/>
        <v>731470</v>
      </c>
      <c r="AL102" s="44">
        <f t="shared" si="286"/>
        <v>731470</v>
      </c>
      <c r="AM102" s="44">
        <f t="shared" si="286"/>
        <v>731470</v>
      </c>
      <c r="AN102" s="44">
        <f t="shared" si="286"/>
        <v>731470</v>
      </c>
      <c r="AO102" s="44">
        <f t="shared" si="286"/>
        <v>731470</v>
      </c>
      <c r="AP102" s="44">
        <f t="shared" si="286"/>
        <v>731470</v>
      </c>
      <c r="AQ102" s="73">
        <f>SUM(AE102:AP102)</f>
        <v>8777640</v>
      </c>
      <c r="AR102" s="73">
        <f>AQ102/12</f>
        <v>731470</v>
      </c>
      <c r="AS102" s="165">
        <f>O102+AC102+AQ102</f>
        <v>25628180</v>
      </c>
    </row>
    <row r="103" spans="1:46" s="43" customFormat="1" ht="11" x14ac:dyDescent="0.15">
      <c r="A103" s="62" t="s">
        <v>1</v>
      </c>
      <c r="B103" s="32" t="s">
        <v>74</v>
      </c>
      <c r="C103" s="166">
        <f t="shared" ref="C103:N103" si="287">-(C85+C48)</f>
        <v>-94450</v>
      </c>
      <c r="D103" s="166">
        <f t="shared" si="287"/>
        <v>-98200</v>
      </c>
      <c r="E103" s="166">
        <f t="shared" si="287"/>
        <v>-102700</v>
      </c>
      <c r="F103" s="166">
        <f t="shared" si="287"/>
        <v>-105700</v>
      </c>
      <c r="G103" s="166">
        <f t="shared" si="287"/>
        <v>-105700</v>
      </c>
      <c r="H103" s="166">
        <f t="shared" si="287"/>
        <v>-105700</v>
      </c>
      <c r="I103" s="166">
        <f t="shared" si="287"/>
        <v>-105700</v>
      </c>
      <c r="J103" s="166">
        <f t="shared" si="287"/>
        <v>-105700</v>
      </c>
      <c r="K103" s="166">
        <f t="shared" si="287"/>
        <v>-105700</v>
      </c>
      <c r="L103" s="166">
        <f t="shared" si="287"/>
        <v>-105700</v>
      </c>
      <c r="M103" s="166">
        <f t="shared" si="287"/>
        <v>-105700</v>
      </c>
      <c r="N103" s="166">
        <f t="shared" si="287"/>
        <v>-105700</v>
      </c>
      <c r="O103" s="73">
        <f>SUM(C103:N103)</f>
        <v>-1246650</v>
      </c>
      <c r="P103" s="73">
        <f>O103/12</f>
        <v>-103887.5</v>
      </c>
      <c r="Q103" s="166">
        <f t="shared" ref="Q103:AB103" si="288">-(Q85+Q48)</f>
        <v>-105700</v>
      </c>
      <c r="R103" s="166">
        <f t="shared" si="288"/>
        <v>-105700</v>
      </c>
      <c r="S103" s="166">
        <f t="shared" si="288"/>
        <v>-105700</v>
      </c>
      <c r="T103" s="166">
        <f t="shared" si="288"/>
        <v>-105700</v>
      </c>
      <c r="U103" s="166">
        <f t="shared" si="288"/>
        <v>-105700</v>
      </c>
      <c r="V103" s="166">
        <f t="shared" si="288"/>
        <v>-105700</v>
      </c>
      <c r="W103" s="166">
        <f t="shared" si="288"/>
        <v>-105700</v>
      </c>
      <c r="X103" s="166">
        <f t="shared" si="288"/>
        <v>-105700</v>
      </c>
      <c r="Y103" s="166">
        <f t="shared" si="288"/>
        <v>-105700</v>
      </c>
      <c r="Z103" s="166">
        <f t="shared" si="288"/>
        <v>-105700</v>
      </c>
      <c r="AA103" s="166">
        <f t="shared" si="288"/>
        <v>-105700</v>
      </c>
      <c r="AB103" s="166">
        <f t="shared" si="288"/>
        <v>-105700</v>
      </c>
      <c r="AC103" s="73">
        <f>SUM(Q103:AB103)</f>
        <v>-1268400</v>
      </c>
      <c r="AD103" s="73">
        <f>AC103/12</f>
        <v>-105700</v>
      </c>
      <c r="AE103" s="166">
        <f t="shared" ref="AE103:AP103" si="289">-(AE85+AE48)</f>
        <v>-105700</v>
      </c>
      <c r="AF103" s="166">
        <f t="shared" si="289"/>
        <v>-105700</v>
      </c>
      <c r="AG103" s="166">
        <f t="shared" si="289"/>
        <v>-105700</v>
      </c>
      <c r="AH103" s="166">
        <f t="shared" si="289"/>
        <v>-105700</v>
      </c>
      <c r="AI103" s="166">
        <f t="shared" si="289"/>
        <v>-105700</v>
      </c>
      <c r="AJ103" s="166">
        <f t="shared" si="289"/>
        <v>-105700</v>
      </c>
      <c r="AK103" s="166">
        <f t="shared" si="289"/>
        <v>-105700</v>
      </c>
      <c r="AL103" s="166">
        <f t="shared" si="289"/>
        <v>-105700</v>
      </c>
      <c r="AM103" s="166">
        <f t="shared" si="289"/>
        <v>-105700</v>
      </c>
      <c r="AN103" s="166">
        <f t="shared" si="289"/>
        <v>-105700</v>
      </c>
      <c r="AO103" s="166">
        <f t="shared" si="289"/>
        <v>-105700</v>
      </c>
      <c r="AP103" s="166">
        <f t="shared" si="289"/>
        <v>-105700</v>
      </c>
      <c r="AQ103" s="73">
        <f>SUM(AE103:AP103)</f>
        <v>-1268400</v>
      </c>
      <c r="AR103" s="73">
        <f>AQ103/12</f>
        <v>-105700</v>
      </c>
      <c r="AS103" s="165">
        <f>O103+AC103+AQ103</f>
        <v>-3783450</v>
      </c>
    </row>
    <row r="104" spans="1:46" s="43" customFormat="1" ht="11" x14ac:dyDescent="0.15">
      <c r="A104" s="62" t="s">
        <v>16</v>
      </c>
      <c r="B104" s="32" t="s">
        <v>74</v>
      </c>
      <c r="C104" s="166">
        <f t="shared" ref="C104:N104" si="290">SUM(C102:C103)</f>
        <v>-20200</v>
      </c>
      <c r="D104" s="44">
        <f t="shared" si="290"/>
        <v>585750</v>
      </c>
      <c r="E104" s="44">
        <f t="shared" si="290"/>
        <v>628770</v>
      </c>
      <c r="F104" s="44">
        <f t="shared" si="290"/>
        <v>625770</v>
      </c>
      <c r="G104" s="44">
        <f t="shared" si="290"/>
        <v>625770</v>
      </c>
      <c r="H104" s="44">
        <f t="shared" si="290"/>
        <v>625770</v>
      </c>
      <c r="I104" s="44">
        <f t="shared" si="290"/>
        <v>625770</v>
      </c>
      <c r="J104" s="166">
        <f t="shared" si="290"/>
        <v>625770</v>
      </c>
      <c r="K104" s="166">
        <f t="shared" si="290"/>
        <v>625770</v>
      </c>
      <c r="L104" s="166">
        <f t="shared" si="290"/>
        <v>625770</v>
      </c>
      <c r="M104" s="166">
        <f t="shared" si="290"/>
        <v>625770</v>
      </c>
      <c r="N104" s="166">
        <f t="shared" si="290"/>
        <v>625770</v>
      </c>
      <c r="O104" s="73">
        <f>SUM(C104:N104)</f>
        <v>6826250</v>
      </c>
      <c r="P104" s="73">
        <f>O104/12</f>
        <v>568854.16666666663</v>
      </c>
      <c r="Q104" s="166">
        <f t="shared" ref="Q104:AB104" si="291">SUM(Q102:Q103)</f>
        <v>625770</v>
      </c>
      <c r="R104" s="44">
        <f t="shared" si="291"/>
        <v>625770</v>
      </c>
      <c r="S104" s="44">
        <f t="shared" si="291"/>
        <v>625770</v>
      </c>
      <c r="T104" s="44">
        <f t="shared" si="291"/>
        <v>625770</v>
      </c>
      <c r="U104" s="44">
        <f t="shared" si="291"/>
        <v>625770</v>
      </c>
      <c r="V104" s="44">
        <f t="shared" si="291"/>
        <v>625770</v>
      </c>
      <c r="W104" s="44">
        <f t="shared" si="291"/>
        <v>625770</v>
      </c>
      <c r="X104" s="166">
        <f t="shared" si="291"/>
        <v>625770</v>
      </c>
      <c r="Y104" s="166">
        <f t="shared" si="291"/>
        <v>625770</v>
      </c>
      <c r="Z104" s="166">
        <f t="shared" si="291"/>
        <v>625770</v>
      </c>
      <c r="AA104" s="166">
        <f t="shared" si="291"/>
        <v>625770</v>
      </c>
      <c r="AB104" s="166">
        <f t="shared" si="291"/>
        <v>625770</v>
      </c>
      <c r="AC104" s="73">
        <f>SUM(Q104:AB104)</f>
        <v>7509240</v>
      </c>
      <c r="AD104" s="73">
        <f>AC104/12</f>
        <v>625770</v>
      </c>
      <c r="AE104" s="166">
        <f t="shared" ref="AE104:AP104" si="292">SUM(AE102:AE103)</f>
        <v>625770</v>
      </c>
      <c r="AF104" s="44">
        <f t="shared" si="292"/>
        <v>625770</v>
      </c>
      <c r="AG104" s="44">
        <f t="shared" si="292"/>
        <v>625770</v>
      </c>
      <c r="AH104" s="44">
        <f t="shared" si="292"/>
        <v>625770</v>
      </c>
      <c r="AI104" s="44">
        <f t="shared" si="292"/>
        <v>625770</v>
      </c>
      <c r="AJ104" s="44">
        <f t="shared" si="292"/>
        <v>625770</v>
      </c>
      <c r="AK104" s="44">
        <f t="shared" si="292"/>
        <v>625770</v>
      </c>
      <c r="AL104" s="166">
        <f t="shared" si="292"/>
        <v>625770</v>
      </c>
      <c r="AM104" s="166">
        <f t="shared" si="292"/>
        <v>625770</v>
      </c>
      <c r="AN104" s="166">
        <f t="shared" si="292"/>
        <v>625770</v>
      </c>
      <c r="AO104" s="166">
        <f t="shared" si="292"/>
        <v>625770</v>
      </c>
      <c r="AP104" s="166">
        <f t="shared" si="292"/>
        <v>625770</v>
      </c>
      <c r="AQ104" s="73">
        <f>SUM(AE104:AP104)</f>
        <v>7509240</v>
      </c>
      <c r="AR104" s="73">
        <f>AQ104/12</f>
        <v>625770</v>
      </c>
      <c r="AS104" s="165">
        <f>O104+AC104+AQ104</f>
        <v>21844730</v>
      </c>
    </row>
    <row r="105" spans="1:46" s="43" customFormat="1" ht="11" x14ac:dyDescent="0.15">
      <c r="A105" s="62" t="s">
        <v>17</v>
      </c>
      <c r="B105" s="32" t="s">
        <v>74</v>
      </c>
      <c r="C105" s="166">
        <f>-(C59)</f>
        <v>-640000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166">
        <v>0</v>
      </c>
      <c r="K105" s="166">
        <v>0</v>
      </c>
      <c r="L105" s="166">
        <v>0</v>
      </c>
      <c r="M105" s="166">
        <v>0</v>
      </c>
      <c r="N105" s="166">
        <v>0</v>
      </c>
      <c r="O105" s="73">
        <f>SUM(C105:N105)</f>
        <v>-640000</v>
      </c>
      <c r="P105" s="73"/>
      <c r="Q105" s="166">
        <v>0</v>
      </c>
      <c r="R105" s="44">
        <v>0</v>
      </c>
      <c r="S105" s="44">
        <v>0</v>
      </c>
      <c r="T105" s="44">
        <v>0</v>
      </c>
      <c r="U105" s="44">
        <v>0</v>
      </c>
      <c r="V105" s="44">
        <v>0</v>
      </c>
      <c r="W105" s="44">
        <v>0</v>
      </c>
      <c r="X105" s="166">
        <v>0</v>
      </c>
      <c r="Y105" s="166">
        <v>0</v>
      </c>
      <c r="Z105" s="166">
        <v>0</v>
      </c>
      <c r="AA105" s="166">
        <v>0</v>
      </c>
      <c r="AB105" s="166">
        <v>0</v>
      </c>
      <c r="AC105" s="73">
        <f>SUM(Q105:AB105)</f>
        <v>0</v>
      </c>
      <c r="AD105" s="73"/>
      <c r="AE105" s="166">
        <v>0</v>
      </c>
      <c r="AF105" s="44">
        <v>0</v>
      </c>
      <c r="AG105" s="44">
        <v>0</v>
      </c>
      <c r="AH105" s="44">
        <v>0</v>
      </c>
      <c r="AI105" s="44">
        <v>0</v>
      </c>
      <c r="AJ105" s="44">
        <v>0</v>
      </c>
      <c r="AK105" s="44">
        <v>0</v>
      </c>
      <c r="AL105" s="166">
        <v>0</v>
      </c>
      <c r="AM105" s="166">
        <v>0</v>
      </c>
      <c r="AN105" s="166">
        <v>0</v>
      </c>
      <c r="AO105" s="166">
        <v>0</v>
      </c>
      <c r="AP105" s="166">
        <v>0</v>
      </c>
      <c r="AQ105" s="73">
        <f>SUM(AE105:AP105)</f>
        <v>0</v>
      </c>
      <c r="AR105" s="73"/>
      <c r="AS105" s="165">
        <f>O105+AC105+AQ105</f>
        <v>-640000</v>
      </c>
    </row>
    <row r="106" spans="1:46" s="93" customFormat="1" ht="11" x14ac:dyDescent="0.15">
      <c r="A106" s="92" t="s">
        <v>18</v>
      </c>
      <c r="B106" s="90" t="s">
        <v>74</v>
      </c>
      <c r="C106" s="164">
        <f>-C105</f>
        <v>640000</v>
      </c>
      <c r="D106" s="164">
        <v>0</v>
      </c>
      <c r="E106" s="164">
        <v>0</v>
      </c>
      <c r="F106" s="164">
        <v>0</v>
      </c>
      <c r="G106" s="164">
        <v>0</v>
      </c>
      <c r="H106" s="164">
        <v>0</v>
      </c>
      <c r="I106" s="164">
        <v>0</v>
      </c>
      <c r="J106" s="164">
        <v>0</v>
      </c>
      <c r="K106" s="164">
        <v>0</v>
      </c>
      <c r="L106" s="164">
        <v>0</v>
      </c>
      <c r="M106" s="164">
        <v>0</v>
      </c>
      <c r="N106" s="164">
        <v>0</v>
      </c>
      <c r="O106" s="73">
        <f>SUM(C106:N106)</f>
        <v>640000</v>
      </c>
      <c r="P106" s="73"/>
      <c r="Q106" s="164">
        <v>0</v>
      </c>
      <c r="R106" s="164">
        <v>0</v>
      </c>
      <c r="S106" s="164">
        <v>0</v>
      </c>
      <c r="T106" s="164">
        <v>0</v>
      </c>
      <c r="U106" s="164">
        <v>0</v>
      </c>
      <c r="V106" s="164">
        <v>0</v>
      </c>
      <c r="W106" s="164">
        <v>0</v>
      </c>
      <c r="X106" s="164">
        <v>0</v>
      </c>
      <c r="Y106" s="164">
        <v>0</v>
      </c>
      <c r="Z106" s="164">
        <v>0</v>
      </c>
      <c r="AA106" s="164">
        <v>0</v>
      </c>
      <c r="AB106" s="164">
        <v>0</v>
      </c>
      <c r="AC106" s="73">
        <f>SUM(Q106:AB106)</f>
        <v>0</v>
      </c>
      <c r="AD106" s="73"/>
      <c r="AE106" s="164">
        <v>0</v>
      </c>
      <c r="AF106" s="164">
        <v>0</v>
      </c>
      <c r="AG106" s="164">
        <v>0</v>
      </c>
      <c r="AH106" s="164">
        <v>0</v>
      </c>
      <c r="AI106" s="164">
        <v>0</v>
      </c>
      <c r="AJ106" s="164">
        <v>0</v>
      </c>
      <c r="AK106" s="164">
        <v>0</v>
      </c>
      <c r="AL106" s="164">
        <v>0</v>
      </c>
      <c r="AM106" s="164">
        <v>0</v>
      </c>
      <c r="AN106" s="164">
        <v>0</v>
      </c>
      <c r="AO106" s="164">
        <v>0</v>
      </c>
      <c r="AP106" s="164">
        <v>0</v>
      </c>
      <c r="AQ106" s="73">
        <f>SUM(AE106:AP106)</f>
        <v>0</v>
      </c>
      <c r="AR106" s="73"/>
      <c r="AS106" s="163">
        <f>O106+AC106+AQ106</f>
        <v>640000</v>
      </c>
    </row>
    <row r="107" spans="1:46" s="43" customFormat="1" ht="11" x14ac:dyDescent="0.15">
      <c r="A107" s="62" t="s">
        <v>19</v>
      </c>
      <c r="B107" s="32" t="s">
        <v>74</v>
      </c>
      <c r="C107" s="166">
        <v>0</v>
      </c>
      <c r="D107" s="44">
        <f>C108</f>
        <v>-20200</v>
      </c>
      <c r="E107" s="44">
        <f t="shared" ref="E107:N107" si="293">D108</f>
        <v>565550</v>
      </c>
      <c r="F107" s="44">
        <f t="shared" si="293"/>
        <v>1194320</v>
      </c>
      <c r="G107" s="44">
        <f t="shared" si="293"/>
        <v>1820090</v>
      </c>
      <c r="H107" s="44">
        <f t="shared" si="293"/>
        <v>2445860</v>
      </c>
      <c r="I107" s="44">
        <f t="shared" si="293"/>
        <v>3071630</v>
      </c>
      <c r="J107" s="166">
        <f t="shared" si="293"/>
        <v>3697400</v>
      </c>
      <c r="K107" s="166">
        <f t="shared" si="293"/>
        <v>4323170</v>
      </c>
      <c r="L107" s="166">
        <f t="shared" si="293"/>
        <v>4948940</v>
      </c>
      <c r="M107" s="166">
        <f t="shared" si="293"/>
        <v>5574710</v>
      </c>
      <c r="N107" s="166">
        <f t="shared" si="293"/>
        <v>6200480</v>
      </c>
      <c r="O107" s="167">
        <f>C107</f>
        <v>0</v>
      </c>
      <c r="P107" s="167"/>
      <c r="Q107" s="166">
        <f>N108</f>
        <v>6826250</v>
      </c>
      <c r="R107" s="44">
        <f t="shared" ref="R107:AB107" si="294">Q108</f>
        <v>7452020</v>
      </c>
      <c r="S107" s="44">
        <f t="shared" si="294"/>
        <v>8077790</v>
      </c>
      <c r="T107" s="44">
        <f t="shared" si="294"/>
        <v>8703560</v>
      </c>
      <c r="U107" s="44">
        <f t="shared" si="294"/>
        <v>9329330</v>
      </c>
      <c r="V107" s="44">
        <f t="shared" si="294"/>
        <v>9955100</v>
      </c>
      <c r="W107" s="44">
        <f t="shared" si="294"/>
        <v>10580870</v>
      </c>
      <c r="X107" s="166">
        <f t="shared" si="294"/>
        <v>11206640</v>
      </c>
      <c r="Y107" s="166">
        <f t="shared" si="294"/>
        <v>11832410</v>
      </c>
      <c r="Z107" s="166">
        <f t="shared" si="294"/>
        <v>12458180</v>
      </c>
      <c r="AA107" s="166">
        <f t="shared" si="294"/>
        <v>13083950</v>
      </c>
      <c r="AB107" s="166">
        <f t="shared" si="294"/>
        <v>13709720</v>
      </c>
      <c r="AC107" s="167">
        <f>Q107</f>
        <v>6826250</v>
      </c>
      <c r="AD107" s="167"/>
      <c r="AE107" s="166">
        <f>AB108</f>
        <v>14335490</v>
      </c>
      <c r="AF107" s="44">
        <f t="shared" ref="AF107:AP107" si="295">AE108</f>
        <v>14961260</v>
      </c>
      <c r="AG107" s="44">
        <f t="shared" si="295"/>
        <v>15587030</v>
      </c>
      <c r="AH107" s="44">
        <f t="shared" si="295"/>
        <v>16212800</v>
      </c>
      <c r="AI107" s="44">
        <f t="shared" si="295"/>
        <v>16838570</v>
      </c>
      <c r="AJ107" s="44">
        <f t="shared" si="295"/>
        <v>17464340</v>
      </c>
      <c r="AK107" s="44">
        <f t="shared" si="295"/>
        <v>18090110</v>
      </c>
      <c r="AL107" s="166">
        <f t="shared" si="295"/>
        <v>18715880</v>
      </c>
      <c r="AM107" s="166">
        <f t="shared" si="295"/>
        <v>19341650</v>
      </c>
      <c r="AN107" s="166">
        <f t="shared" si="295"/>
        <v>19967420</v>
      </c>
      <c r="AO107" s="166">
        <f t="shared" si="295"/>
        <v>20593190</v>
      </c>
      <c r="AP107" s="166">
        <f t="shared" si="295"/>
        <v>21218960</v>
      </c>
      <c r="AQ107" s="167">
        <f>AE107</f>
        <v>14335490</v>
      </c>
      <c r="AR107" s="167"/>
      <c r="AS107" s="165">
        <f>O107</f>
        <v>0</v>
      </c>
    </row>
    <row r="108" spans="1:46" s="43" customFormat="1" ht="11" x14ac:dyDescent="0.15">
      <c r="A108" s="62" t="s">
        <v>20</v>
      </c>
      <c r="B108" s="32" t="s">
        <v>74</v>
      </c>
      <c r="C108" s="166">
        <f>C104+C105+C106+C107</f>
        <v>-20200</v>
      </c>
      <c r="D108" s="44">
        <f>D104+D105+D106+D107</f>
        <v>565550</v>
      </c>
      <c r="E108" s="44">
        <f t="shared" ref="E108:N108" si="296">E104+E105+E106+E107</f>
        <v>1194320</v>
      </c>
      <c r="F108" s="44">
        <f t="shared" si="296"/>
        <v>1820090</v>
      </c>
      <c r="G108" s="44">
        <f t="shared" si="296"/>
        <v>2445860</v>
      </c>
      <c r="H108" s="44">
        <f t="shared" si="296"/>
        <v>3071630</v>
      </c>
      <c r="I108" s="44">
        <f t="shared" si="296"/>
        <v>3697400</v>
      </c>
      <c r="J108" s="166">
        <f t="shared" si="296"/>
        <v>4323170</v>
      </c>
      <c r="K108" s="166">
        <f t="shared" si="296"/>
        <v>4948940</v>
      </c>
      <c r="L108" s="166">
        <f t="shared" si="296"/>
        <v>5574710</v>
      </c>
      <c r="M108" s="166">
        <f t="shared" si="296"/>
        <v>6200480</v>
      </c>
      <c r="N108" s="166">
        <f t="shared" si="296"/>
        <v>6826250</v>
      </c>
      <c r="O108" s="167">
        <f>N108</f>
        <v>6826250</v>
      </c>
      <c r="P108" s="167"/>
      <c r="Q108" s="166">
        <f>Q104+Q105+Q106+Q107</f>
        <v>7452020</v>
      </c>
      <c r="R108" s="44">
        <f>R104+R105+R106+R107</f>
        <v>8077790</v>
      </c>
      <c r="S108" s="44">
        <f t="shared" ref="S108:AB108" si="297">S104+S105+S106+S107</f>
        <v>8703560</v>
      </c>
      <c r="T108" s="44">
        <f t="shared" si="297"/>
        <v>9329330</v>
      </c>
      <c r="U108" s="44">
        <f t="shared" si="297"/>
        <v>9955100</v>
      </c>
      <c r="V108" s="44">
        <f t="shared" si="297"/>
        <v>10580870</v>
      </c>
      <c r="W108" s="44">
        <f t="shared" si="297"/>
        <v>11206640</v>
      </c>
      <c r="X108" s="166">
        <f t="shared" si="297"/>
        <v>11832410</v>
      </c>
      <c r="Y108" s="166">
        <f t="shared" si="297"/>
        <v>12458180</v>
      </c>
      <c r="Z108" s="166">
        <f t="shared" si="297"/>
        <v>13083950</v>
      </c>
      <c r="AA108" s="166">
        <f t="shared" si="297"/>
        <v>13709720</v>
      </c>
      <c r="AB108" s="166">
        <f t="shared" si="297"/>
        <v>14335490</v>
      </c>
      <c r="AC108" s="167">
        <f>AB108</f>
        <v>14335490</v>
      </c>
      <c r="AD108" s="167"/>
      <c r="AE108" s="166">
        <f>AE104+AE105+AE106+AE107</f>
        <v>14961260</v>
      </c>
      <c r="AF108" s="44">
        <f>AF104+AF105+AF106+AF107</f>
        <v>15587030</v>
      </c>
      <c r="AG108" s="44">
        <f t="shared" ref="AG108:AP108" si="298">AG104+AG105+AG106+AG107</f>
        <v>16212800</v>
      </c>
      <c r="AH108" s="44">
        <f t="shared" si="298"/>
        <v>16838570</v>
      </c>
      <c r="AI108" s="44">
        <f t="shared" si="298"/>
        <v>17464340</v>
      </c>
      <c r="AJ108" s="44">
        <f t="shared" si="298"/>
        <v>18090110</v>
      </c>
      <c r="AK108" s="44">
        <f t="shared" si="298"/>
        <v>18715880</v>
      </c>
      <c r="AL108" s="166">
        <f t="shared" si="298"/>
        <v>19341650</v>
      </c>
      <c r="AM108" s="166">
        <f t="shared" si="298"/>
        <v>19967420</v>
      </c>
      <c r="AN108" s="166">
        <f t="shared" si="298"/>
        <v>20593190</v>
      </c>
      <c r="AO108" s="166">
        <f t="shared" si="298"/>
        <v>21218960</v>
      </c>
      <c r="AP108" s="166">
        <f t="shared" si="298"/>
        <v>21844730</v>
      </c>
      <c r="AQ108" s="167">
        <f>AP108</f>
        <v>21844730</v>
      </c>
      <c r="AR108" s="167"/>
      <c r="AS108" s="165">
        <f>AQ108</f>
        <v>21844730</v>
      </c>
    </row>
    <row r="109" spans="1:46" s="43" customFormat="1" ht="11" x14ac:dyDescent="0.15">
      <c r="A109" s="62"/>
      <c r="B109" s="32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146"/>
      <c r="P109" s="146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146"/>
      <c r="AD109" s="146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146"/>
      <c r="AR109" s="146"/>
      <c r="AS109" s="52"/>
      <c r="AT109" s="52"/>
    </row>
    <row r="110" spans="1:46" s="24" customFormat="1" ht="11" x14ac:dyDescent="0.15">
      <c r="A110" s="59"/>
      <c r="B110" s="60"/>
      <c r="C110" s="63"/>
      <c r="D110" s="63"/>
      <c r="E110" s="63"/>
      <c r="F110" s="63"/>
      <c r="G110" s="63"/>
      <c r="H110" s="63"/>
      <c r="I110" s="63"/>
      <c r="J110" s="59"/>
      <c r="K110" s="59"/>
      <c r="L110" s="59"/>
      <c r="M110" s="59"/>
      <c r="N110" s="59"/>
      <c r="O110" s="150"/>
      <c r="P110" s="150"/>
      <c r="Q110" s="63"/>
      <c r="R110" s="63"/>
      <c r="S110" s="63"/>
      <c r="T110" s="63"/>
      <c r="U110" s="63"/>
      <c r="V110" s="63"/>
      <c r="W110" s="63"/>
      <c r="X110" s="59"/>
      <c r="Y110" s="59"/>
      <c r="Z110" s="59"/>
      <c r="AA110" s="59"/>
      <c r="AB110" s="59"/>
      <c r="AC110" s="150"/>
      <c r="AD110" s="150"/>
      <c r="AE110" s="63"/>
      <c r="AF110" s="63"/>
      <c r="AG110" s="63"/>
      <c r="AH110" s="63"/>
      <c r="AI110" s="63"/>
      <c r="AJ110" s="63"/>
      <c r="AK110" s="63"/>
      <c r="AL110" s="59"/>
      <c r="AM110" s="59"/>
      <c r="AN110" s="59"/>
      <c r="AO110" s="59"/>
      <c r="AP110" s="59"/>
      <c r="AQ110" s="150"/>
      <c r="AR110" s="150"/>
      <c r="AS110" s="59"/>
    </row>
    <row r="111" spans="1:46" s="24" customFormat="1" ht="12" thickBot="1" x14ac:dyDescent="0.2">
      <c r="O111" s="76"/>
      <c r="P111" s="76"/>
      <c r="AC111" s="76"/>
      <c r="AD111" s="76"/>
      <c r="AQ111" s="76"/>
      <c r="AR111" s="76"/>
    </row>
    <row r="112" spans="1:46" s="24" customFormat="1" thickTop="1" thickBot="1" x14ac:dyDescent="0.2">
      <c r="A112" s="22" t="s">
        <v>21</v>
      </c>
      <c r="B112" s="23"/>
      <c r="C112" s="23" t="str">
        <f t="shared" ref="C112:AP112" si="299">C$6</f>
        <v>январь</v>
      </c>
      <c r="D112" s="23" t="str">
        <f t="shared" si="299"/>
        <v>февраль</v>
      </c>
      <c r="E112" s="23" t="str">
        <f t="shared" si="299"/>
        <v>март</v>
      </c>
      <c r="F112" s="23" t="str">
        <f t="shared" si="299"/>
        <v>апрель</v>
      </c>
      <c r="G112" s="23" t="str">
        <f t="shared" si="299"/>
        <v>май</v>
      </c>
      <c r="H112" s="23" t="str">
        <f t="shared" si="299"/>
        <v>июнь</v>
      </c>
      <c r="I112" s="23" t="str">
        <f t="shared" si="299"/>
        <v>июль</v>
      </c>
      <c r="J112" s="23" t="str">
        <f t="shared" si="299"/>
        <v>август</v>
      </c>
      <c r="K112" s="23" t="str">
        <f t="shared" si="299"/>
        <v>сентябрь</v>
      </c>
      <c r="L112" s="23" t="str">
        <f t="shared" si="299"/>
        <v>октябрь</v>
      </c>
      <c r="M112" s="23" t="str">
        <f t="shared" si="299"/>
        <v>ноябрь</v>
      </c>
      <c r="N112" s="23" t="str">
        <f t="shared" si="299"/>
        <v>декабрь</v>
      </c>
      <c r="O112" s="151"/>
      <c r="P112" s="151"/>
      <c r="Q112" s="23" t="str">
        <f t="shared" si="299"/>
        <v>январь</v>
      </c>
      <c r="R112" s="23" t="str">
        <f t="shared" si="299"/>
        <v>февраль</v>
      </c>
      <c r="S112" s="23" t="str">
        <f t="shared" si="299"/>
        <v>март</v>
      </c>
      <c r="T112" s="23" t="str">
        <f t="shared" si="299"/>
        <v>апрель</v>
      </c>
      <c r="U112" s="23" t="str">
        <f t="shared" si="299"/>
        <v>май</v>
      </c>
      <c r="V112" s="23" t="str">
        <f t="shared" si="299"/>
        <v>июнь</v>
      </c>
      <c r="W112" s="23" t="str">
        <f t="shared" si="299"/>
        <v>июль</v>
      </c>
      <c r="X112" s="23" t="str">
        <f t="shared" si="299"/>
        <v>август</v>
      </c>
      <c r="Y112" s="23" t="str">
        <f t="shared" si="299"/>
        <v>сентябрь</v>
      </c>
      <c r="Z112" s="23" t="str">
        <f t="shared" si="299"/>
        <v>октябрь</v>
      </c>
      <c r="AA112" s="23" t="str">
        <f t="shared" si="299"/>
        <v>ноябрь</v>
      </c>
      <c r="AB112" s="23" t="str">
        <f t="shared" si="299"/>
        <v>декабрь</v>
      </c>
      <c r="AC112" s="151"/>
      <c r="AD112" s="151"/>
      <c r="AE112" s="23" t="str">
        <f t="shared" si="299"/>
        <v>январь</v>
      </c>
      <c r="AF112" s="23" t="str">
        <f t="shared" si="299"/>
        <v>февраль</v>
      </c>
      <c r="AG112" s="23" t="str">
        <f t="shared" si="299"/>
        <v>март</v>
      </c>
      <c r="AH112" s="23" t="str">
        <f t="shared" si="299"/>
        <v>апрель</v>
      </c>
      <c r="AI112" s="23" t="str">
        <f t="shared" si="299"/>
        <v>май</v>
      </c>
      <c r="AJ112" s="23" t="str">
        <f t="shared" si="299"/>
        <v>июнь</v>
      </c>
      <c r="AK112" s="23" t="str">
        <f t="shared" si="299"/>
        <v>июль</v>
      </c>
      <c r="AL112" s="23" t="str">
        <f t="shared" si="299"/>
        <v>август</v>
      </c>
      <c r="AM112" s="23" t="str">
        <f t="shared" si="299"/>
        <v>сентябрь</v>
      </c>
      <c r="AN112" s="23" t="str">
        <f t="shared" si="299"/>
        <v>октябрь</v>
      </c>
      <c r="AO112" s="23" t="str">
        <f t="shared" si="299"/>
        <v>ноябрь</v>
      </c>
      <c r="AP112" s="23" t="str">
        <f t="shared" si="299"/>
        <v>декабрь</v>
      </c>
      <c r="AQ112" s="151"/>
      <c r="AR112" s="151"/>
      <c r="AS112" s="23"/>
    </row>
    <row r="113" spans="1:45" s="24" customFormat="1" ht="15" thickTop="1" x14ac:dyDescent="0.15">
      <c r="A113" s="64"/>
      <c r="B113" s="65"/>
      <c r="C113" s="64"/>
      <c r="D113" s="64"/>
      <c r="E113" s="64"/>
      <c r="F113" s="64"/>
      <c r="G113" s="64"/>
      <c r="H113" s="64"/>
      <c r="I113" s="66"/>
      <c r="O113" s="76"/>
      <c r="P113" s="76"/>
      <c r="Q113" s="64"/>
      <c r="R113" s="64"/>
      <c r="S113" s="64"/>
      <c r="T113" s="64"/>
      <c r="U113" s="64"/>
      <c r="V113" s="64"/>
      <c r="W113" s="66"/>
      <c r="AC113" s="76"/>
      <c r="AD113" s="76"/>
      <c r="AE113" s="64"/>
      <c r="AF113" s="64"/>
      <c r="AG113" s="64"/>
      <c r="AH113" s="64"/>
      <c r="AI113" s="64"/>
      <c r="AJ113" s="64"/>
      <c r="AK113" s="66"/>
      <c r="AQ113" s="76"/>
      <c r="AR113" s="76"/>
      <c r="AS113" s="67"/>
    </row>
    <row r="114" spans="1:45" s="69" customFormat="1" ht="11" x14ac:dyDescent="0.15">
      <c r="A114" s="68" t="s">
        <v>22</v>
      </c>
      <c r="B114" s="70"/>
      <c r="C114" s="190">
        <v>1</v>
      </c>
      <c r="D114" s="190">
        <v>1</v>
      </c>
      <c r="E114" s="190">
        <v>1</v>
      </c>
      <c r="F114" s="190">
        <v>1</v>
      </c>
      <c r="G114" s="190">
        <v>1</v>
      </c>
      <c r="H114" s="190">
        <v>1</v>
      </c>
      <c r="I114" s="190">
        <v>1</v>
      </c>
      <c r="J114" s="190">
        <v>1</v>
      </c>
      <c r="K114" s="190">
        <v>1</v>
      </c>
      <c r="L114" s="190">
        <v>1</v>
      </c>
      <c r="M114" s="190">
        <v>1</v>
      </c>
      <c r="N114" s="190">
        <v>1</v>
      </c>
      <c r="O114" s="152"/>
      <c r="P114" s="152"/>
      <c r="Q114" s="190">
        <v>1</v>
      </c>
      <c r="R114" s="190">
        <v>1</v>
      </c>
      <c r="S114" s="190">
        <v>1</v>
      </c>
      <c r="T114" s="190">
        <v>1</v>
      </c>
      <c r="U114" s="190">
        <v>1</v>
      </c>
      <c r="V114" s="190">
        <v>1</v>
      </c>
      <c r="W114" s="190">
        <v>1</v>
      </c>
      <c r="X114" s="190">
        <v>1</v>
      </c>
      <c r="Y114" s="190">
        <v>1</v>
      </c>
      <c r="Z114" s="190">
        <v>1</v>
      </c>
      <c r="AA114" s="190">
        <v>1</v>
      </c>
      <c r="AB114" s="190">
        <v>1</v>
      </c>
      <c r="AC114" s="152"/>
      <c r="AD114" s="152"/>
      <c r="AE114" s="190">
        <v>1</v>
      </c>
      <c r="AF114" s="190">
        <v>1</v>
      </c>
      <c r="AG114" s="190">
        <v>1</v>
      </c>
      <c r="AH114" s="190">
        <v>1</v>
      </c>
      <c r="AI114" s="190">
        <v>1</v>
      </c>
      <c r="AJ114" s="190">
        <v>1</v>
      </c>
      <c r="AK114" s="190">
        <v>1</v>
      </c>
      <c r="AL114" s="190">
        <v>1</v>
      </c>
      <c r="AM114" s="190">
        <v>1</v>
      </c>
      <c r="AN114" s="190">
        <v>1</v>
      </c>
      <c r="AO114" s="190">
        <v>1</v>
      </c>
      <c r="AP114" s="190">
        <v>1</v>
      </c>
      <c r="AQ114" s="152"/>
      <c r="AR114" s="152"/>
      <c r="AS114" s="71"/>
    </row>
    <row r="115" spans="1:45" s="24" customFormat="1" ht="11" x14ac:dyDescent="0.15">
      <c r="A115" s="31" t="s">
        <v>76</v>
      </c>
      <c r="B115" s="33"/>
      <c r="C115" s="44">
        <f>B115+SUM(C104:C106)*C114</f>
        <v>-20200</v>
      </c>
      <c r="D115" s="44">
        <f>C115+SUM(D104:D106)*D114</f>
        <v>565550</v>
      </c>
      <c r="E115" s="44">
        <f t="shared" ref="E115:N115" si="300">D115+SUM(E104:E106)*E114</f>
        <v>1194320</v>
      </c>
      <c r="F115" s="44">
        <f t="shared" si="300"/>
        <v>1820090</v>
      </c>
      <c r="G115" s="44">
        <f t="shared" si="300"/>
        <v>2445860</v>
      </c>
      <c r="H115" s="44">
        <f t="shared" si="300"/>
        <v>3071630</v>
      </c>
      <c r="I115" s="44">
        <f t="shared" si="300"/>
        <v>3697400</v>
      </c>
      <c r="J115" s="44">
        <f t="shared" si="300"/>
        <v>4323170</v>
      </c>
      <c r="K115" s="44">
        <f t="shared" si="300"/>
        <v>4948940</v>
      </c>
      <c r="L115" s="44">
        <f t="shared" si="300"/>
        <v>5574710</v>
      </c>
      <c r="M115" s="44">
        <f t="shared" si="300"/>
        <v>6200480</v>
      </c>
      <c r="N115" s="44">
        <f t="shared" si="300"/>
        <v>6826250</v>
      </c>
      <c r="O115" s="73"/>
      <c r="P115" s="73"/>
      <c r="Q115" s="44">
        <f>N115+SUM(Q104:Q106)*Q114</f>
        <v>7452020</v>
      </c>
      <c r="R115" s="44">
        <f t="shared" ref="R115:AB115" si="301">Q115+SUM(R104:R106)*R114</f>
        <v>8077790</v>
      </c>
      <c r="S115" s="44">
        <f t="shared" si="301"/>
        <v>8703560</v>
      </c>
      <c r="T115" s="44">
        <f t="shared" si="301"/>
        <v>9329330</v>
      </c>
      <c r="U115" s="44">
        <f t="shared" si="301"/>
        <v>9955100</v>
      </c>
      <c r="V115" s="44">
        <f t="shared" si="301"/>
        <v>10580870</v>
      </c>
      <c r="W115" s="44">
        <f t="shared" si="301"/>
        <v>11206640</v>
      </c>
      <c r="X115" s="44">
        <f t="shared" si="301"/>
        <v>11832410</v>
      </c>
      <c r="Y115" s="44">
        <f t="shared" si="301"/>
        <v>12458180</v>
      </c>
      <c r="Z115" s="44">
        <f t="shared" si="301"/>
        <v>13083950</v>
      </c>
      <c r="AA115" s="44">
        <f t="shared" si="301"/>
        <v>13709720</v>
      </c>
      <c r="AB115" s="44">
        <f t="shared" si="301"/>
        <v>14335490</v>
      </c>
      <c r="AC115" s="73"/>
      <c r="AD115" s="73"/>
      <c r="AE115" s="44">
        <f>AB115+SUM(AE104:AE106)*AE114</f>
        <v>14961260</v>
      </c>
      <c r="AF115" s="44">
        <f t="shared" ref="AF115:AP115" si="302">AE115+SUM(AF104:AF106)*AF114</f>
        <v>15587030</v>
      </c>
      <c r="AG115" s="44">
        <f t="shared" si="302"/>
        <v>16212800</v>
      </c>
      <c r="AH115" s="44">
        <f t="shared" si="302"/>
        <v>16838570</v>
      </c>
      <c r="AI115" s="44">
        <f t="shared" si="302"/>
        <v>17464340</v>
      </c>
      <c r="AJ115" s="44">
        <f t="shared" si="302"/>
        <v>18090110</v>
      </c>
      <c r="AK115" s="44">
        <f t="shared" si="302"/>
        <v>18715880</v>
      </c>
      <c r="AL115" s="44">
        <f t="shared" si="302"/>
        <v>19341650</v>
      </c>
      <c r="AM115" s="44">
        <f t="shared" si="302"/>
        <v>19967420</v>
      </c>
      <c r="AN115" s="44">
        <f t="shared" si="302"/>
        <v>20593190</v>
      </c>
      <c r="AO115" s="44">
        <f t="shared" si="302"/>
        <v>21218960</v>
      </c>
      <c r="AP115" s="44">
        <f t="shared" si="302"/>
        <v>21844730</v>
      </c>
      <c r="AQ115" s="146"/>
      <c r="AR115" s="146"/>
      <c r="AS115" s="73"/>
    </row>
    <row r="116" spans="1:45" s="24" customFormat="1" ht="11" x14ac:dyDescent="0.15">
      <c r="A116" s="31"/>
      <c r="B116" s="74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146"/>
      <c r="P116" s="146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146"/>
      <c r="AD116" s="146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146"/>
      <c r="AR116" s="146"/>
      <c r="AS116" s="29"/>
    </row>
    <row r="117" spans="1:45" s="24" customFormat="1" ht="11" x14ac:dyDescent="0.15">
      <c r="A117" s="130" t="s">
        <v>77</v>
      </c>
      <c r="B117" s="75">
        <f>AP115-AS106</f>
        <v>21204730</v>
      </c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146"/>
      <c r="P117" s="146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146"/>
      <c r="AD117" s="146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146"/>
      <c r="AR117" s="146"/>
      <c r="AS117" s="29"/>
    </row>
    <row r="118" spans="1:45" s="24" customFormat="1" ht="11" x14ac:dyDescent="0.15">
      <c r="A118" s="130" t="s">
        <v>23</v>
      </c>
      <c r="B118" s="75">
        <f>B117/AS59</f>
        <v>33.132390624999999</v>
      </c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146"/>
      <c r="P118" s="146"/>
      <c r="Q118" s="35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146"/>
      <c r="AD118" s="146"/>
      <c r="AE118" s="35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146"/>
      <c r="AR118" s="146"/>
      <c r="AS118" s="29"/>
    </row>
    <row r="119" spans="1:45" s="24" customFormat="1" ht="11" x14ac:dyDescent="0.15">
      <c r="A119" s="131" t="s">
        <v>60</v>
      </c>
      <c r="B119" s="132">
        <f>IF(AS122&lt;36,AS122+1,"Окупаемость более 36 мес., работа нецелесообразна.")</f>
        <v>3</v>
      </c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146"/>
      <c r="P119" s="146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146"/>
      <c r="AD119" s="146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146"/>
      <c r="AR119" s="146"/>
      <c r="AS119" s="29"/>
    </row>
    <row r="120" spans="1:45" s="12" customFormat="1" ht="11" x14ac:dyDescent="0.15">
      <c r="A120" s="131" t="s">
        <v>72</v>
      </c>
      <c r="B120" s="132">
        <f>IF(AS123&lt;36,AS123+1,"Самоокупаемость более 36 мес., работа нецелесообразна.")</f>
        <v>2</v>
      </c>
      <c r="C120" s="56"/>
      <c r="D120" s="56"/>
      <c r="E120" s="51"/>
      <c r="F120" s="51"/>
      <c r="G120" s="51"/>
      <c r="H120" s="56"/>
      <c r="I120" s="50"/>
      <c r="J120" s="50"/>
      <c r="K120" s="50"/>
      <c r="L120" s="50"/>
      <c r="M120" s="50"/>
      <c r="N120" s="50"/>
      <c r="O120" s="147"/>
      <c r="P120" s="147"/>
      <c r="Q120" s="56"/>
      <c r="R120" s="56"/>
      <c r="S120" s="51"/>
      <c r="T120" s="51"/>
      <c r="U120" s="51"/>
      <c r="V120" s="56"/>
      <c r="W120" s="50"/>
      <c r="X120" s="50"/>
      <c r="Y120" s="50"/>
      <c r="Z120" s="50"/>
      <c r="AA120" s="50"/>
      <c r="AB120" s="50"/>
      <c r="AC120" s="147"/>
      <c r="AD120" s="147"/>
      <c r="AE120" s="56"/>
      <c r="AF120" s="56"/>
      <c r="AG120" s="51"/>
      <c r="AH120" s="51"/>
      <c r="AI120" s="51"/>
      <c r="AJ120" s="56"/>
      <c r="AK120" s="50"/>
      <c r="AL120" s="50"/>
      <c r="AM120" s="50"/>
      <c r="AN120" s="50"/>
      <c r="AO120" s="50"/>
      <c r="AP120" s="50"/>
      <c r="AQ120" s="147"/>
      <c r="AR120" s="147"/>
      <c r="AS120" s="50"/>
    </row>
    <row r="121" spans="1:45" s="24" customFormat="1" ht="11" x14ac:dyDescent="0.15">
      <c r="B121" s="35"/>
      <c r="C121" s="72"/>
      <c r="E121" s="77"/>
      <c r="O121" s="76"/>
      <c r="P121" s="76"/>
      <c r="Q121" s="72"/>
      <c r="S121" s="77"/>
      <c r="AC121" s="76"/>
      <c r="AD121" s="76"/>
      <c r="AE121" s="72"/>
      <c r="AG121" s="77"/>
      <c r="AQ121" s="76"/>
      <c r="AR121" s="76"/>
    </row>
    <row r="122" spans="1:45" s="159" customFormat="1" ht="11" hidden="1" x14ac:dyDescent="0.15">
      <c r="B122" s="160" t="s">
        <v>47</v>
      </c>
      <c r="C122" s="160">
        <f>IF(C97&gt;0,0,1)</f>
        <v>1</v>
      </c>
      <c r="D122" s="160">
        <f t="shared" ref="D122:AB122" si="303">IF(D97&gt;0,0,1)</f>
        <v>1</v>
      </c>
      <c r="E122" s="160">
        <f t="shared" si="303"/>
        <v>0</v>
      </c>
      <c r="F122" s="160">
        <f t="shared" si="303"/>
        <v>0</v>
      </c>
      <c r="G122" s="160">
        <f t="shared" si="303"/>
        <v>0</v>
      </c>
      <c r="H122" s="160">
        <f t="shared" si="303"/>
        <v>0</v>
      </c>
      <c r="I122" s="160">
        <f t="shared" si="303"/>
        <v>0</v>
      </c>
      <c r="J122" s="160">
        <f t="shared" si="303"/>
        <v>0</v>
      </c>
      <c r="K122" s="160">
        <f t="shared" si="303"/>
        <v>0</v>
      </c>
      <c r="L122" s="160">
        <f t="shared" si="303"/>
        <v>0</v>
      </c>
      <c r="M122" s="160">
        <f t="shared" si="303"/>
        <v>0</v>
      </c>
      <c r="N122" s="160">
        <f t="shared" si="303"/>
        <v>0</v>
      </c>
      <c r="O122" s="161"/>
      <c r="P122" s="161"/>
      <c r="Q122" s="160">
        <f t="shared" si="303"/>
        <v>0</v>
      </c>
      <c r="R122" s="160">
        <f t="shared" si="303"/>
        <v>0</v>
      </c>
      <c r="S122" s="160">
        <f t="shared" si="303"/>
        <v>0</v>
      </c>
      <c r="T122" s="160">
        <f t="shared" si="303"/>
        <v>0</v>
      </c>
      <c r="U122" s="160">
        <f t="shared" si="303"/>
        <v>0</v>
      </c>
      <c r="V122" s="160">
        <f t="shared" si="303"/>
        <v>0</v>
      </c>
      <c r="W122" s="160">
        <f t="shared" si="303"/>
        <v>0</v>
      </c>
      <c r="X122" s="160">
        <f t="shared" si="303"/>
        <v>0</v>
      </c>
      <c r="Y122" s="160">
        <f t="shared" si="303"/>
        <v>0</v>
      </c>
      <c r="Z122" s="160">
        <f t="shared" si="303"/>
        <v>0</v>
      </c>
      <c r="AA122" s="160">
        <f t="shared" si="303"/>
        <v>0</v>
      </c>
      <c r="AB122" s="160">
        <f t="shared" si="303"/>
        <v>0</v>
      </c>
      <c r="AC122" s="161"/>
      <c r="AD122" s="161"/>
      <c r="AE122" s="160">
        <f t="shared" ref="AE122:AP122" si="304">IF(AE97&gt;0,0,1)</f>
        <v>0</v>
      </c>
      <c r="AF122" s="160">
        <f t="shared" si="304"/>
        <v>0</v>
      </c>
      <c r="AG122" s="160">
        <f t="shared" si="304"/>
        <v>0</v>
      </c>
      <c r="AH122" s="160">
        <f t="shared" si="304"/>
        <v>0</v>
      </c>
      <c r="AI122" s="160">
        <f t="shared" si="304"/>
        <v>0</v>
      </c>
      <c r="AJ122" s="160">
        <f t="shared" si="304"/>
        <v>0</v>
      </c>
      <c r="AK122" s="160">
        <f t="shared" si="304"/>
        <v>0</v>
      </c>
      <c r="AL122" s="160">
        <f t="shared" si="304"/>
        <v>0</v>
      </c>
      <c r="AM122" s="160">
        <f t="shared" si="304"/>
        <v>0</v>
      </c>
      <c r="AN122" s="160">
        <f t="shared" si="304"/>
        <v>0</v>
      </c>
      <c r="AO122" s="160">
        <f t="shared" si="304"/>
        <v>0</v>
      </c>
      <c r="AP122" s="160">
        <f t="shared" si="304"/>
        <v>0</v>
      </c>
      <c r="AQ122" s="161"/>
      <c r="AR122" s="161"/>
      <c r="AS122" s="159">
        <f>SUM(C122:AP122)</f>
        <v>2</v>
      </c>
    </row>
    <row r="123" spans="1:45" s="160" customFormat="1" ht="11" hidden="1" x14ac:dyDescent="0.15">
      <c r="B123" s="160" t="s">
        <v>71</v>
      </c>
      <c r="C123" s="160">
        <f>IF(C96&gt;0,0,1)</f>
        <v>1</v>
      </c>
      <c r="D123" s="160">
        <f>IF(D96+C96&gt;0,0,1)</f>
        <v>0</v>
      </c>
      <c r="E123" s="160">
        <f>IF(E96+D96&gt;0,0,1)</f>
        <v>0</v>
      </c>
      <c r="F123" s="160">
        <f t="shared" ref="F123:N123" si="305">IF(F96+E96&gt;0,0,1)</f>
        <v>0</v>
      </c>
      <c r="G123" s="160">
        <f t="shared" si="305"/>
        <v>0</v>
      </c>
      <c r="H123" s="160">
        <f t="shared" si="305"/>
        <v>0</v>
      </c>
      <c r="I123" s="160">
        <f t="shared" si="305"/>
        <v>0</v>
      </c>
      <c r="J123" s="160">
        <f t="shared" si="305"/>
        <v>0</v>
      </c>
      <c r="K123" s="160">
        <f t="shared" si="305"/>
        <v>0</v>
      </c>
      <c r="L123" s="160">
        <f t="shared" si="305"/>
        <v>0</v>
      </c>
      <c r="M123" s="160">
        <f t="shared" si="305"/>
        <v>0</v>
      </c>
      <c r="N123" s="160">
        <f t="shared" si="305"/>
        <v>0</v>
      </c>
      <c r="Q123" s="160">
        <f>IF(Q96+N96&gt;0,0,1)</f>
        <v>0</v>
      </c>
      <c r="R123" s="160">
        <f>IF(R96+Q96&gt;0,0,1)</f>
        <v>0</v>
      </c>
      <c r="S123" s="160">
        <f t="shared" ref="S123:AB123" si="306">IF(S96+R96&gt;0,0,1)</f>
        <v>0</v>
      </c>
      <c r="T123" s="160">
        <f t="shared" si="306"/>
        <v>0</v>
      </c>
      <c r="U123" s="160">
        <f t="shared" si="306"/>
        <v>0</v>
      </c>
      <c r="V123" s="160">
        <f t="shared" si="306"/>
        <v>0</v>
      </c>
      <c r="W123" s="160">
        <f t="shared" si="306"/>
        <v>0</v>
      </c>
      <c r="X123" s="160">
        <f t="shared" si="306"/>
        <v>0</v>
      </c>
      <c r="Y123" s="160">
        <f t="shared" si="306"/>
        <v>0</v>
      </c>
      <c r="Z123" s="160">
        <f t="shared" si="306"/>
        <v>0</v>
      </c>
      <c r="AA123" s="160">
        <f t="shared" si="306"/>
        <v>0</v>
      </c>
      <c r="AB123" s="160">
        <f t="shared" si="306"/>
        <v>0</v>
      </c>
      <c r="AE123" s="160">
        <f>IF(AE96+AB96&gt;0,0,1)</f>
        <v>0</v>
      </c>
      <c r="AF123" s="160">
        <f>IF(AF96+AE96&gt;0,0,1)</f>
        <v>0</v>
      </c>
      <c r="AG123" s="160">
        <f t="shared" ref="AG123:AP123" si="307">IF(AG96+AF96&gt;0,0,1)</f>
        <v>0</v>
      </c>
      <c r="AH123" s="160">
        <f t="shared" si="307"/>
        <v>0</v>
      </c>
      <c r="AI123" s="160">
        <f t="shared" si="307"/>
        <v>0</v>
      </c>
      <c r="AJ123" s="160">
        <f t="shared" si="307"/>
        <v>0</v>
      </c>
      <c r="AK123" s="160">
        <f t="shared" si="307"/>
        <v>0</v>
      </c>
      <c r="AL123" s="160">
        <f t="shared" si="307"/>
        <v>0</v>
      </c>
      <c r="AM123" s="160">
        <f t="shared" si="307"/>
        <v>0</v>
      </c>
      <c r="AN123" s="160">
        <f t="shared" si="307"/>
        <v>0</v>
      </c>
      <c r="AO123" s="160">
        <f t="shared" si="307"/>
        <v>0</v>
      </c>
      <c r="AP123" s="160">
        <f t="shared" si="307"/>
        <v>0</v>
      </c>
      <c r="AS123" s="159">
        <f>SUM(C123:AP123)</f>
        <v>1</v>
      </c>
    </row>
    <row r="124" spans="1:45" s="24" customFormat="1" ht="11" x14ac:dyDescent="0.15">
      <c r="B124" s="35"/>
      <c r="C124" s="35"/>
      <c r="O124" s="76"/>
      <c r="P124" s="76"/>
      <c r="Q124" s="35"/>
      <c r="AC124" s="76"/>
      <c r="AD124" s="76"/>
      <c r="AE124" s="35"/>
      <c r="AQ124" s="76"/>
      <c r="AR124" s="76"/>
    </row>
    <row r="125" spans="1:45" s="24" customFormat="1" ht="11" x14ac:dyDescent="0.15">
      <c r="O125" s="76"/>
      <c r="P125" s="76"/>
      <c r="AC125" s="76"/>
      <c r="AD125" s="76"/>
      <c r="AQ125" s="76"/>
      <c r="AR125" s="76"/>
    </row>
    <row r="126" spans="1:45" s="24" customFormat="1" ht="11" x14ac:dyDescent="0.15">
      <c r="O126" s="76"/>
      <c r="P126" s="76"/>
      <c r="AC126" s="76"/>
      <c r="AD126" s="76"/>
      <c r="AQ126" s="76"/>
      <c r="AR126" s="76"/>
    </row>
    <row r="127" spans="1:45" s="79" customFormat="1" ht="14" x14ac:dyDescent="0.15">
      <c r="A127" s="24"/>
      <c r="B127" s="78"/>
      <c r="O127" s="153"/>
      <c r="P127" s="153"/>
      <c r="AC127" s="153"/>
      <c r="AD127" s="153"/>
      <c r="AQ127" s="153"/>
      <c r="AR127" s="153"/>
    </row>
    <row r="128" spans="1:45" s="79" customFormat="1" ht="14" x14ac:dyDescent="0.15">
      <c r="A128" s="24"/>
      <c r="B128" s="78"/>
      <c r="O128" s="153"/>
      <c r="P128" s="153"/>
      <c r="AC128" s="153"/>
      <c r="AD128" s="153"/>
      <c r="AQ128" s="153"/>
      <c r="AR128" s="153"/>
    </row>
    <row r="129" spans="1:44" s="79" customFormat="1" ht="14" x14ac:dyDescent="0.15">
      <c r="A129" s="24"/>
      <c r="B129" s="78"/>
      <c r="O129" s="153"/>
      <c r="P129" s="153"/>
      <c r="AC129" s="153"/>
      <c r="AD129" s="153"/>
      <c r="AQ129" s="153"/>
      <c r="AR129" s="153"/>
    </row>
    <row r="130" spans="1:44" s="79" customFormat="1" ht="14" x14ac:dyDescent="0.15">
      <c r="A130" s="24"/>
      <c r="B130" s="78"/>
      <c r="O130" s="153"/>
      <c r="P130" s="153"/>
      <c r="AC130" s="153"/>
      <c r="AD130" s="153"/>
      <c r="AQ130" s="153"/>
      <c r="AR130" s="153"/>
    </row>
    <row r="131" spans="1:44" s="79" customFormat="1" ht="14" x14ac:dyDescent="0.15">
      <c r="A131" s="24"/>
      <c r="B131" s="78"/>
      <c r="O131" s="153"/>
      <c r="P131" s="153"/>
      <c r="AC131" s="153"/>
      <c r="AD131" s="153"/>
      <c r="AQ131" s="153"/>
      <c r="AR131" s="153"/>
    </row>
    <row r="132" spans="1:44" s="79" customFormat="1" ht="14" x14ac:dyDescent="0.15">
      <c r="A132" s="24"/>
      <c r="B132" s="78"/>
      <c r="O132" s="153"/>
      <c r="P132" s="153"/>
      <c r="AC132" s="153"/>
      <c r="AD132" s="153"/>
      <c r="AQ132" s="153"/>
      <c r="AR132" s="153"/>
    </row>
    <row r="133" spans="1:44" s="79" customFormat="1" ht="14" x14ac:dyDescent="0.15">
      <c r="A133" s="24"/>
      <c r="B133" s="78"/>
      <c r="O133" s="153"/>
      <c r="P133" s="153"/>
      <c r="AC133" s="153"/>
      <c r="AD133" s="153"/>
      <c r="AQ133" s="153"/>
      <c r="AR133" s="153"/>
    </row>
    <row r="134" spans="1:44" s="79" customFormat="1" ht="14" x14ac:dyDescent="0.15">
      <c r="A134" s="24"/>
      <c r="B134" s="78"/>
      <c r="O134" s="153"/>
      <c r="P134" s="153"/>
      <c r="AC134" s="153"/>
      <c r="AD134" s="153"/>
      <c r="AQ134" s="153"/>
      <c r="AR134" s="153"/>
    </row>
    <row r="135" spans="1:44" s="79" customFormat="1" ht="14" x14ac:dyDescent="0.15">
      <c r="A135" s="24"/>
      <c r="B135" s="78"/>
      <c r="O135" s="153"/>
      <c r="P135" s="153"/>
      <c r="AC135" s="153"/>
      <c r="AD135" s="153"/>
      <c r="AQ135" s="153"/>
      <c r="AR135" s="153"/>
    </row>
    <row r="136" spans="1:44" s="79" customFormat="1" ht="14" x14ac:dyDescent="0.15">
      <c r="A136" s="24"/>
      <c r="B136" s="78"/>
      <c r="O136" s="153"/>
      <c r="P136" s="153"/>
      <c r="AC136" s="153"/>
      <c r="AD136" s="153"/>
      <c r="AQ136" s="153"/>
      <c r="AR136" s="153"/>
    </row>
    <row r="137" spans="1:44" s="79" customFormat="1" ht="14" x14ac:dyDescent="0.15">
      <c r="A137" s="24"/>
      <c r="B137" s="78"/>
      <c r="O137" s="153"/>
      <c r="P137" s="153"/>
      <c r="AC137" s="153"/>
      <c r="AD137" s="153"/>
      <c r="AQ137" s="153"/>
      <c r="AR137" s="153"/>
    </row>
    <row r="138" spans="1:44" s="79" customFormat="1" ht="14" x14ac:dyDescent="0.15">
      <c r="A138" s="24"/>
      <c r="B138" s="78"/>
      <c r="O138" s="153"/>
      <c r="P138" s="153"/>
      <c r="AC138" s="153"/>
      <c r="AD138" s="153"/>
      <c r="AQ138" s="153"/>
      <c r="AR138" s="153"/>
    </row>
    <row r="139" spans="1:44" s="79" customFormat="1" ht="14" x14ac:dyDescent="0.15">
      <c r="A139" s="24"/>
      <c r="B139" s="78"/>
      <c r="O139" s="153"/>
      <c r="P139" s="153"/>
      <c r="AC139" s="153"/>
      <c r="AD139" s="153"/>
      <c r="AQ139" s="153"/>
      <c r="AR139" s="153"/>
    </row>
    <row r="140" spans="1:44" s="79" customFormat="1" ht="14" x14ac:dyDescent="0.15">
      <c r="A140" s="24"/>
      <c r="B140" s="78"/>
      <c r="O140" s="153"/>
      <c r="P140" s="153"/>
      <c r="AC140" s="153"/>
      <c r="AD140" s="153"/>
      <c r="AQ140" s="153"/>
      <c r="AR140" s="153"/>
    </row>
  </sheetData>
  <mergeCells count="8">
    <mergeCell ref="A1:B1"/>
    <mergeCell ref="AS10:AS11"/>
    <mergeCell ref="C5:P5"/>
    <mergeCell ref="C10:P10"/>
    <mergeCell ref="Q5:AD5"/>
    <mergeCell ref="Q10:AD10"/>
    <mergeCell ref="AE5:AR5"/>
    <mergeCell ref="AE10:AR10"/>
  </mergeCells>
  <conditionalFormatting sqref="F7:N7">
    <cfRule type="cellIs" dxfId="3" priority="4" operator="lessThan">
      <formula>1</formula>
    </cfRule>
  </conditionalFormatting>
  <conditionalFormatting sqref="Q7:AB7">
    <cfRule type="cellIs" dxfId="2" priority="3" operator="lessThan">
      <formula>1</formula>
    </cfRule>
  </conditionalFormatting>
  <conditionalFormatting sqref="AE7:AP7">
    <cfRule type="cellIs" dxfId="1" priority="2" operator="lessThan">
      <formula>1</formula>
    </cfRule>
  </conditionalFormatting>
  <conditionalFormatting sqref="C7:E7">
    <cfRule type="cellIs" dxfId="0" priority="1" operator="lessThan">
      <formula>1</formula>
    </cfRule>
  </conditionalFormatting>
  <pageMargins left="0.39370078740157483" right="0.39370078740157483" top="0.39370078740157483" bottom="0.39370078740157483" header="0.51181102362204722" footer="0.51181102362204722"/>
  <pageSetup paperSize="9" scale="47" fitToHeight="2" orientation="landscape" horizontalDpi="300" verticalDpi="300"/>
  <headerFooter alignWithMargins="0"/>
  <colBreaks count="2" manualBreakCount="2">
    <brk id="16" min="4" max="109" man="1"/>
    <brk id="30" min="4" max="10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Исходные данные</vt:lpstr>
      <vt:lpstr>Обобщенный расчет</vt:lpstr>
      <vt:lpstr>Детальный расчет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Zazi;Franch.biz</dc:creator>
  <cp:lastModifiedBy>пользователь Microsoft Office</cp:lastModifiedBy>
  <cp:lastPrinted>2015-04-28T16:29:58Z</cp:lastPrinted>
  <dcterms:created xsi:type="dcterms:W3CDTF">2013-12-25T12:04:54Z</dcterms:created>
  <dcterms:modified xsi:type="dcterms:W3CDTF">2017-04-03T08:08:59Z</dcterms:modified>
</cp:coreProperties>
</file>