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ЭтаКнига" defaultThemeVersion="124226"/>
  <bookViews>
    <workbookView xWindow="0" yWindow="0" windowWidth="20730" windowHeight="9630" tabRatio="803"/>
  </bookViews>
  <sheets>
    <sheet name="Титульная страница" sheetId="16" r:id="rId1"/>
    <sheet name="Структура" sheetId="17" r:id="rId2"/>
    <sheet name="Входящие данные" sheetId="1" r:id="rId3"/>
    <sheet name="Этапы запуска Проекта" sheetId="8" r:id="rId4"/>
    <sheet name="Инвестиции на орг-цию бизнеса" sheetId="5" r:id="rId5"/>
    <sheet name="Ежемесячные затраты" sheetId="6" r:id="rId6"/>
    <sheet name="Продажи" sheetId="3" r:id="rId7"/>
    <sheet name="Прибыль_окупаемость" sheetId="4" r:id="rId8"/>
    <sheet name="Гибкость" sheetId="21" r:id="rId9"/>
    <sheet name="Глоссарий" sheetId="20" r:id="rId10"/>
    <sheet name="Допущения и ограничения" sheetId="23" r:id="rId11"/>
    <sheet name="Сезон" sheetId="24" state="veryHidden" r:id="rId12"/>
    <sheet name="Кредитование" sheetId="10" state="veryHidden" r:id="rId13"/>
    <sheet name="Лист1" sheetId="22" state="veryHidden" r:id="rId14"/>
  </sheets>
  <externalReferences>
    <externalReference r:id="rId15"/>
    <externalReference r:id="rId16"/>
    <externalReference r:id="rId17"/>
    <externalReference r:id="rId18"/>
    <externalReference r:id="rId19"/>
  </externalReferences>
  <definedNames>
    <definedName name="_GoBack" localSheetId="6">'Ежемесячные затраты'!#REF!</definedName>
    <definedName name="→" localSheetId="8">'[1]Ежемесячные затраты'!#REF!</definedName>
    <definedName name="→" localSheetId="9">'[2]Ежемесячные затраты'!#REF!</definedName>
    <definedName name="→" localSheetId="13">'[3]Ежемесячные затраты'!#REF!</definedName>
    <definedName name="→" localSheetId="11">'[4]Ежемесячные затраты'!#REF!</definedName>
    <definedName name="→">'Ежемесячные затраты'!#REF!</definedName>
    <definedName name="page1" localSheetId="0">'Титульная страница'!$N$10</definedName>
    <definedName name="у">OFFSET([5]Лист1!$A$1,0,0,COUNTA([5]Лист1!$A$1:$A$24),1)</definedName>
    <definedName name="УСН" localSheetId="8">'[1]Ежемесячные затраты'!#REF!</definedName>
    <definedName name="УСН" localSheetId="9">'[2]Ежемесячные затраты'!#REF!</definedName>
    <definedName name="УСН" localSheetId="13">'[3]Ежемесячные затраты'!#REF!</definedName>
    <definedName name="УСН" localSheetId="11">'[4]Ежемесячные затраты'!#REF!</definedName>
    <definedName name="УСН">'Ежемесячные затраты'!#REF!</definedName>
  </definedNames>
  <calcPr calcId="124519"/>
</workbook>
</file>

<file path=xl/calcChain.xml><?xml version="1.0" encoding="utf-8"?>
<calcChain xmlns="http://schemas.openxmlformats.org/spreadsheetml/2006/main">
  <c r="F48" i="3"/>
  <c r="G48"/>
  <c r="H48"/>
  <c r="I48"/>
  <c r="J48"/>
  <c r="K48"/>
  <c r="L48"/>
  <c r="M48"/>
  <c r="N48"/>
  <c r="O48"/>
  <c r="P48"/>
  <c r="Q48"/>
  <c r="R48"/>
  <c r="S48"/>
  <c r="T48"/>
  <c r="U48"/>
  <c r="V48"/>
  <c r="W48"/>
  <c r="X48"/>
  <c r="Y48"/>
  <c r="Z48"/>
  <c r="AA48"/>
  <c r="AB48"/>
  <c r="AC48"/>
  <c r="AD48"/>
  <c r="AE48"/>
  <c r="AF48"/>
  <c r="AG48"/>
  <c r="AH48"/>
  <c r="AI48"/>
  <c r="AJ48"/>
  <c r="AK48"/>
  <c r="AL48"/>
  <c r="AM48"/>
  <c r="AN48"/>
  <c r="E48"/>
  <c r="G46" i="5"/>
  <c r="G36" i="6"/>
  <c r="D43" i="3" l="1"/>
  <c r="D38"/>
  <c r="Q26"/>
  <c r="D33"/>
  <c r="H25" l="1"/>
  <c r="I25"/>
  <c r="J25"/>
  <c r="K25"/>
  <c r="L25"/>
  <c r="M25"/>
  <c r="N25"/>
  <c r="O25"/>
  <c r="P25"/>
  <c r="Q25"/>
  <c r="R25"/>
  <c r="S25"/>
  <c r="T25"/>
  <c r="U25"/>
  <c r="V25"/>
  <c r="W25"/>
  <c r="X25"/>
  <c r="Y25"/>
  <c r="Z25"/>
  <c r="AA25"/>
  <c r="AB25"/>
  <c r="AC25"/>
  <c r="AD25"/>
  <c r="AE25"/>
  <c r="AF25"/>
  <c r="AG25"/>
  <c r="AH25"/>
  <c r="AI25"/>
  <c r="AJ25"/>
  <c r="AK25"/>
  <c r="AL25"/>
  <c r="AM25"/>
  <c r="AN25"/>
  <c r="F25"/>
  <c r="G25"/>
  <c r="C28"/>
  <c r="C17" i="6"/>
  <c r="E30"/>
  <c r="G40" i="5"/>
  <c r="G45"/>
  <c r="G43" s="1"/>
  <c r="D31"/>
  <c r="C19"/>
  <c r="E22" i="1"/>
  <c r="G34" i="6" s="1"/>
  <c r="G21" i="5"/>
  <c r="E25" i="1"/>
  <c r="C25"/>
  <c r="G35" i="6" l="1"/>
  <c r="G32"/>
  <c r="G19" i="5"/>
  <c r="E29" s="1"/>
  <c r="G29" s="1"/>
  <c r="G30" i="6"/>
  <c r="G33"/>
  <c r="G17"/>
  <c r="D22"/>
  <c r="D28" i="3"/>
  <c r="D20" i="6"/>
  <c r="D21"/>
  <c r="E31" i="5"/>
  <c r="G31" s="1"/>
  <c r="E34"/>
  <c r="G34" s="1"/>
  <c r="E32" l="1"/>
  <c r="G32" s="1"/>
  <c r="E30"/>
  <c r="G30" s="1"/>
  <c r="E26"/>
  <c r="G26" s="1"/>
  <c r="E28"/>
  <c r="G28" s="1"/>
  <c r="F25" i="4"/>
  <c r="J25"/>
  <c r="N25"/>
  <c r="R25"/>
  <c r="V25"/>
  <c r="Z25"/>
  <c r="AD25"/>
  <c r="AH25"/>
  <c r="AL25"/>
  <c r="I25"/>
  <c r="M25"/>
  <c r="Q25"/>
  <c r="U25"/>
  <c r="Y25"/>
  <c r="AC25"/>
  <c r="AG25"/>
  <c r="AK25"/>
  <c r="E25"/>
  <c r="G25"/>
  <c r="K25"/>
  <c r="O25"/>
  <c r="S25"/>
  <c r="W25"/>
  <c r="AA25"/>
  <c r="AE25"/>
  <c r="AI25"/>
  <c r="AM25"/>
  <c r="H25"/>
  <c r="L25"/>
  <c r="P25"/>
  <c r="T25"/>
  <c r="X25"/>
  <c r="AB25"/>
  <c r="AF25"/>
  <c r="AJ25"/>
  <c r="AN25"/>
  <c r="E33" i="5"/>
  <c r="G33" s="1"/>
  <c r="G36"/>
  <c r="G38"/>
  <c r="E27"/>
  <c r="G27" s="1"/>
  <c r="E35"/>
  <c r="G35" s="1"/>
  <c r="E24" i="3"/>
  <c r="G25" i="5" l="1"/>
  <c r="G24"/>
  <c r="C30" i="3" l="1"/>
  <c r="F27" i="4" l="1"/>
  <c r="G27"/>
  <c r="H27"/>
  <c r="I27"/>
  <c r="J27"/>
  <c r="K27"/>
  <c r="L27"/>
  <c r="M27"/>
  <c r="N27"/>
  <c r="O27"/>
  <c r="P27"/>
  <c r="Q27"/>
  <c r="R27"/>
  <c r="S27"/>
  <c r="T27"/>
  <c r="U27"/>
  <c r="V27"/>
  <c r="W27"/>
  <c r="X27"/>
  <c r="Y27"/>
  <c r="Z27"/>
  <c r="AA27"/>
  <c r="AB27"/>
  <c r="AC27"/>
  <c r="AD27"/>
  <c r="AE27"/>
  <c r="AF27"/>
  <c r="AG27"/>
  <c r="AH27"/>
  <c r="AI27"/>
  <c r="AJ27"/>
  <c r="AK27"/>
  <c r="AL27"/>
  <c r="AM27"/>
  <c r="AN27"/>
  <c r="E26" i="3"/>
  <c r="E43" s="1"/>
  <c r="E33" l="1"/>
  <c r="E38"/>
  <c r="G24" i="6"/>
  <c r="G23" s="1"/>
  <c r="E39" i="3" l="1"/>
  <c r="E40" s="1"/>
  <c r="E44"/>
  <c r="E34"/>
  <c r="G23" i="4"/>
  <c r="K23"/>
  <c r="O23"/>
  <c r="S23"/>
  <c r="W23"/>
  <c r="AA23"/>
  <c r="AE23"/>
  <c r="AI23"/>
  <c r="AM23"/>
  <c r="I23"/>
  <c r="Q23"/>
  <c r="U23"/>
  <c r="AC23"/>
  <c r="AG23"/>
  <c r="AH23"/>
  <c r="E23"/>
  <c r="H23"/>
  <c r="L23"/>
  <c r="P23"/>
  <c r="T23"/>
  <c r="X23"/>
  <c r="AB23"/>
  <c r="AF23"/>
  <c r="AJ23"/>
  <c r="AN23"/>
  <c r="M23"/>
  <c r="Y23"/>
  <c r="AK23"/>
  <c r="F23"/>
  <c r="J23"/>
  <c r="N23"/>
  <c r="R23"/>
  <c r="V23"/>
  <c r="Z23"/>
  <c r="AD23"/>
  <c r="AL23"/>
  <c r="G23" i="5"/>
  <c r="G22" s="1"/>
  <c r="E35" i="3" l="1"/>
  <c r="E45"/>
  <c r="E47"/>
  <c r="I21"/>
  <c r="I18"/>
  <c r="I20"/>
  <c r="E46" l="1"/>
  <c r="E50"/>
  <c r="F26"/>
  <c r="F38" l="1"/>
  <c r="F33"/>
  <c r="F43"/>
  <c r="G26"/>
  <c r="F44" l="1"/>
  <c r="G43"/>
  <c r="G33"/>
  <c r="F34"/>
  <c r="G38"/>
  <c r="F39"/>
  <c r="F40" s="1"/>
  <c r="H26"/>
  <c r="F35" l="1"/>
  <c r="F45"/>
  <c r="F47"/>
  <c r="G44"/>
  <c r="H43"/>
  <c r="H33"/>
  <c r="G34"/>
  <c r="H38"/>
  <c r="G39"/>
  <c r="G40" s="1"/>
  <c r="I26"/>
  <c r="G41" i="5"/>
  <c r="G42"/>
  <c r="F46" i="3" l="1"/>
  <c r="G35"/>
  <c r="G45"/>
  <c r="G46" s="1"/>
  <c r="G47"/>
  <c r="F50"/>
  <c r="H34"/>
  <c r="I33"/>
  <c r="H44"/>
  <c r="I43"/>
  <c r="I38"/>
  <c r="H39"/>
  <c r="H40" s="1"/>
  <c r="J26"/>
  <c r="G29" i="23"/>
  <c r="F45" i="4" s="1"/>
  <c r="H35" i="3" l="1"/>
  <c r="H45"/>
  <c r="H47"/>
  <c r="G50"/>
  <c r="J43"/>
  <c r="I44"/>
  <c r="I34"/>
  <c r="J33"/>
  <c r="J38"/>
  <c r="I39"/>
  <c r="I40" s="1"/>
  <c r="E29" i="4"/>
  <c r="K26" i="3"/>
  <c r="D3" i="10"/>
  <c r="H46" i="3" l="1"/>
  <c r="I35"/>
  <c r="I45"/>
  <c r="I46" s="1"/>
  <c r="I47"/>
  <c r="H50"/>
  <c r="K33"/>
  <c r="J34"/>
  <c r="K38"/>
  <c r="J39"/>
  <c r="J40" s="1"/>
  <c r="K43"/>
  <c r="J44"/>
  <c r="L26"/>
  <c r="I50" l="1"/>
  <c r="J45"/>
  <c r="J47"/>
  <c r="J35"/>
  <c r="L38"/>
  <c r="K39"/>
  <c r="K40" s="1"/>
  <c r="L43"/>
  <c r="K44"/>
  <c r="L33"/>
  <c r="K34"/>
  <c r="M26"/>
  <c r="E27" i="4"/>
  <c r="D27" s="1"/>
  <c r="J46" i="3" l="1"/>
  <c r="K35"/>
  <c r="K46"/>
  <c r="K45"/>
  <c r="K47"/>
  <c r="J50"/>
  <c r="M43"/>
  <c r="L44"/>
  <c r="M33"/>
  <c r="L34"/>
  <c r="M38"/>
  <c r="L39"/>
  <c r="L40" s="1"/>
  <c r="N26"/>
  <c r="C26" i="6"/>
  <c r="L35" i="3" l="1"/>
  <c r="L45"/>
  <c r="L47"/>
  <c r="K50"/>
  <c r="N33"/>
  <c r="M34"/>
  <c r="N38"/>
  <c r="M39"/>
  <c r="M40" s="1"/>
  <c r="N43"/>
  <c r="M44"/>
  <c r="F26" i="6"/>
  <c r="D26"/>
  <c r="E26"/>
  <c r="O26" i="3"/>
  <c r="L46" l="1"/>
  <c r="M45"/>
  <c r="M47"/>
  <c r="M35"/>
  <c r="L50"/>
  <c r="O38"/>
  <c r="N39"/>
  <c r="N40" s="1"/>
  <c r="O43"/>
  <c r="N44"/>
  <c r="O33"/>
  <c r="N34"/>
  <c r="P26"/>
  <c r="D23" i="4"/>
  <c r="M46" i="3" l="1"/>
  <c r="N45"/>
  <c r="N47"/>
  <c r="N35"/>
  <c r="M50"/>
  <c r="P43"/>
  <c r="O44"/>
  <c r="P33"/>
  <c r="O34"/>
  <c r="P38"/>
  <c r="O39"/>
  <c r="O40" s="1"/>
  <c r="R26"/>
  <c r="N46" l="1"/>
  <c r="O35"/>
  <c r="O45"/>
  <c r="O47"/>
  <c r="N50"/>
  <c r="Q33"/>
  <c r="P34"/>
  <c r="Q38"/>
  <c r="P39"/>
  <c r="P40" s="1"/>
  <c r="Q43"/>
  <c r="P44"/>
  <c r="S26"/>
  <c r="O46" l="1"/>
  <c r="O50"/>
  <c r="P45"/>
  <c r="P47"/>
  <c r="P35"/>
  <c r="R38"/>
  <c r="Q39"/>
  <c r="Q40" s="1"/>
  <c r="R43"/>
  <c r="Q44"/>
  <c r="R33"/>
  <c r="Q34"/>
  <c r="T26"/>
  <c r="P46" l="1"/>
  <c r="Q35"/>
  <c r="Q45"/>
  <c r="Q47"/>
  <c r="P50"/>
  <c r="S43"/>
  <c r="R44"/>
  <c r="S33"/>
  <c r="R34"/>
  <c r="S38"/>
  <c r="R39"/>
  <c r="R40" s="1"/>
  <c r="U26"/>
  <c r="Q46" l="1"/>
  <c r="R35"/>
  <c r="R45"/>
  <c r="R47"/>
  <c r="Q50"/>
  <c r="T33"/>
  <c r="S34"/>
  <c r="T38"/>
  <c r="S39"/>
  <c r="S40" s="1"/>
  <c r="T43"/>
  <c r="S44"/>
  <c r="V26"/>
  <c r="R46" l="1"/>
  <c r="S45"/>
  <c r="S47"/>
  <c r="S35"/>
  <c r="R50"/>
  <c r="U38"/>
  <c r="T39"/>
  <c r="T40" s="1"/>
  <c r="U43"/>
  <c r="T44"/>
  <c r="U33"/>
  <c r="T34"/>
  <c r="W26"/>
  <c r="S46" l="1"/>
  <c r="T45"/>
  <c r="T47"/>
  <c r="T35"/>
  <c r="T46"/>
  <c r="S50"/>
  <c r="V43"/>
  <c r="U44"/>
  <c r="V33"/>
  <c r="U34"/>
  <c r="V38"/>
  <c r="U39"/>
  <c r="U40" s="1"/>
  <c r="X26"/>
  <c r="T50" l="1"/>
  <c r="U35"/>
  <c r="U45"/>
  <c r="U47"/>
  <c r="W33"/>
  <c r="V34"/>
  <c r="W38"/>
  <c r="V39"/>
  <c r="V40" s="1"/>
  <c r="W43"/>
  <c r="V44"/>
  <c r="Y26"/>
  <c r="U50" l="1"/>
  <c r="U46"/>
  <c r="V45"/>
  <c r="V47"/>
  <c r="V35"/>
  <c r="X38"/>
  <c r="W39"/>
  <c r="W40" s="1"/>
  <c r="X43"/>
  <c r="W44"/>
  <c r="X33"/>
  <c r="W34"/>
  <c r="Z26"/>
  <c r="V46" l="1"/>
  <c r="W45"/>
  <c r="W47"/>
  <c r="W35"/>
  <c r="V50"/>
  <c r="Y43"/>
  <c r="X44"/>
  <c r="Y33"/>
  <c r="X34"/>
  <c r="Y38"/>
  <c r="X39"/>
  <c r="X40" s="1"/>
  <c r="AA26"/>
  <c r="W50" l="1"/>
  <c r="W46"/>
  <c r="X35"/>
  <c r="X45"/>
  <c r="X47"/>
  <c r="Z33"/>
  <c r="Y34"/>
  <c r="Z38"/>
  <c r="Y39"/>
  <c r="Y40" s="1"/>
  <c r="Z43"/>
  <c r="Y44"/>
  <c r="AB26"/>
  <c r="C24" i="6"/>
  <c r="X46" i="3" l="1"/>
  <c r="Y35"/>
  <c r="Y45"/>
  <c r="Y47"/>
  <c r="X50"/>
  <c r="AA38"/>
  <c r="Z39"/>
  <c r="Z40" s="1"/>
  <c r="AA43"/>
  <c r="Z44"/>
  <c r="AA33"/>
  <c r="Z34"/>
  <c r="AD26"/>
  <c r="Y46" l="1"/>
  <c r="Z45"/>
  <c r="Z47"/>
  <c r="Z35"/>
  <c r="Y50"/>
  <c r="AB43"/>
  <c r="AA44"/>
  <c r="AB33"/>
  <c r="AA34"/>
  <c r="AB38"/>
  <c r="AA39"/>
  <c r="AA40" s="1"/>
  <c r="AE26"/>
  <c r="Z46" l="1"/>
  <c r="AA35"/>
  <c r="AA45"/>
  <c r="AA47"/>
  <c r="Z50"/>
  <c r="AC33"/>
  <c r="AB34"/>
  <c r="AC38"/>
  <c r="AB39"/>
  <c r="AB40" s="1"/>
  <c r="AC43"/>
  <c r="AB44"/>
  <c r="AF26"/>
  <c r="AA46" l="1"/>
  <c r="AA50"/>
  <c r="AB45"/>
  <c r="AB47"/>
  <c r="AB35"/>
  <c r="AD38"/>
  <c r="AC39"/>
  <c r="AC40" s="1"/>
  <c r="AD43"/>
  <c r="AC44"/>
  <c r="AD33"/>
  <c r="AC34"/>
  <c r="AG26"/>
  <c r="D29" i="4"/>
  <c r="D38"/>
  <c r="D37"/>
  <c r="D39"/>
  <c r="AB46" i="3" l="1"/>
  <c r="AC35"/>
  <c r="AC45"/>
  <c r="AC47"/>
  <c r="AB50"/>
  <c r="AE43"/>
  <c r="AD44"/>
  <c r="AE33"/>
  <c r="AD34"/>
  <c r="AE38"/>
  <c r="AD39"/>
  <c r="AD40" s="1"/>
  <c r="AH26"/>
  <c r="AC46" l="1"/>
  <c r="AD35"/>
  <c r="AD45"/>
  <c r="AD47"/>
  <c r="AC50"/>
  <c r="AF33"/>
  <c r="AE34"/>
  <c r="AF38"/>
  <c r="AE39"/>
  <c r="AE40" s="1"/>
  <c r="AF43"/>
  <c r="AE44"/>
  <c r="AI26"/>
  <c r="F93" i="22"/>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F90"/>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F87"/>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O85"/>
  <c r="P85" s="1"/>
  <c r="Q85" s="1"/>
  <c r="R85" s="1"/>
  <c r="S85" s="1"/>
  <c r="T85" s="1"/>
  <c r="U85" s="1"/>
  <c r="V85" s="1"/>
  <c r="W85" s="1"/>
  <c r="X85" s="1"/>
  <c r="Y85" s="1"/>
  <c r="Z85" s="1"/>
  <c r="AA85" s="1"/>
  <c r="AB85" s="1"/>
  <c r="AC85" s="1"/>
  <c r="AD85" s="1"/>
  <c r="AE85" s="1"/>
  <c r="AF85" s="1"/>
  <c r="AG85" s="1"/>
  <c r="M85"/>
  <c r="L85" s="1"/>
  <c r="K85" s="1"/>
  <c r="J85" s="1"/>
  <c r="I85" s="1"/>
  <c r="H85" s="1"/>
  <c r="G85" s="1"/>
  <c r="F85" s="1"/>
  <c r="E85" s="1"/>
  <c r="D85" s="1"/>
  <c r="C85" s="1"/>
  <c r="B85" s="1"/>
  <c r="A85" s="1"/>
  <c r="F6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F58"/>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F55"/>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O53"/>
  <c r="P53" s="1"/>
  <c r="Q53" s="1"/>
  <c r="R53" s="1"/>
  <c r="S53" s="1"/>
  <c r="T53" s="1"/>
  <c r="U53" s="1"/>
  <c r="V53" s="1"/>
  <c r="W53" s="1"/>
  <c r="X53" s="1"/>
  <c r="Y53" s="1"/>
  <c r="Z53" s="1"/>
  <c r="AA53" s="1"/>
  <c r="AB53" s="1"/>
  <c r="AC53" s="1"/>
  <c r="AD53" s="1"/>
  <c r="AE53" s="1"/>
  <c r="AF53" s="1"/>
  <c r="AG53" s="1"/>
  <c r="M53"/>
  <c r="L53" s="1"/>
  <c r="K53" s="1"/>
  <c r="J53" s="1"/>
  <c r="I53" s="1"/>
  <c r="H53" s="1"/>
  <c r="G53" s="1"/>
  <c r="F53" s="1"/>
  <c r="E53" s="1"/>
  <c r="D53" s="1"/>
  <c r="C53" s="1"/>
  <c r="B53" s="1"/>
  <c r="A53" s="1"/>
  <c r="D41"/>
  <c r="E41" s="1"/>
  <c r="R31"/>
  <c r="R30" s="1"/>
  <c r="R29" s="1"/>
  <c r="R28" s="1"/>
  <c r="R27" s="1"/>
  <c r="R26" s="1"/>
  <c r="R25" s="1"/>
  <c r="R24" s="1"/>
  <c r="R23" s="1"/>
  <c r="R22" s="1"/>
  <c r="R21" s="1"/>
  <c r="R20" s="1"/>
  <c r="R19" s="1"/>
  <c r="P24"/>
  <c r="P25" s="1"/>
  <c r="P26" s="1"/>
  <c r="Q26" s="1"/>
  <c r="Q23"/>
  <c r="P22"/>
  <c r="Q22" s="1"/>
  <c r="AM8"/>
  <c r="AN8" s="1"/>
  <c r="AO8" s="1"/>
  <c r="AP8" s="1"/>
  <c r="AQ8" s="1"/>
  <c r="AR8" s="1"/>
  <c r="AS8" s="1"/>
  <c r="AT8" s="1"/>
  <c r="AU8" s="1"/>
  <c r="AV8" s="1"/>
  <c r="AW8" s="1"/>
  <c r="AX8" s="1"/>
  <c r="AY8" s="1"/>
  <c r="AZ8" s="1"/>
  <c r="BA8" s="1"/>
  <c r="BB8" s="1"/>
  <c r="BC8" s="1"/>
  <c r="BD8" s="1"/>
  <c r="BE8" s="1"/>
  <c r="AB8"/>
  <c r="AC8" s="1"/>
  <c r="AD8" s="1"/>
  <c r="AE8" s="1"/>
  <c r="AF8" s="1"/>
  <c r="AG8" s="1"/>
  <c r="Z8"/>
  <c r="Y8" s="1"/>
  <c r="X8" s="1"/>
  <c r="W8" s="1"/>
  <c r="V8" s="1"/>
  <c r="U8" s="1"/>
  <c r="T8" s="1"/>
  <c r="S8" s="1"/>
  <c r="R8" s="1"/>
  <c r="Q8" s="1"/>
  <c r="P8" s="1"/>
  <c r="O8" s="1"/>
  <c r="N8" s="1"/>
  <c r="M8" s="1"/>
  <c r="L8" s="1"/>
  <c r="K8" s="1"/>
  <c r="J8" s="1"/>
  <c r="I8" s="1"/>
  <c r="H8" s="1"/>
  <c r="G8" s="1"/>
  <c r="F8" s="1"/>
  <c r="E8" s="1"/>
  <c r="D8" s="1"/>
  <c r="C8" s="1"/>
  <c r="B8" s="1"/>
  <c r="A8" s="1"/>
  <c r="AM7"/>
  <c r="AN7" s="1"/>
  <c r="AO7" s="1"/>
  <c r="AP7" s="1"/>
  <c r="AQ7" s="1"/>
  <c r="AR7" s="1"/>
  <c r="AS7" s="1"/>
  <c r="AT7" s="1"/>
  <c r="AU7" s="1"/>
  <c r="AV7" s="1"/>
  <c r="AW7" s="1"/>
  <c r="AX7" s="1"/>
  <c r="AY7" s="1"/>
  <c r="AZ7" s="1"/>
  <c r="BA7" s="1"/>
  <c r="BB7" s="1"/>
  <c r="BC7" s="1"/>
  <c r="BD7" s="1"/>
  <c r="BE7" s="1"/>
  <c r="AB7"/>
  <c r="AC7" s="1"/>
  <c r="AD7" s="1"/>
  <c r="AE7" s="1"/>
  <c r="AF7" s="1"/>
  <c r="AG7" s="1"/>
  <c r="Z7"/>
  <c r="Y7" s="1"/>
  <c r="X7" s="1"/>
  <c r="W7" s="1"/>
  <c r="V7" s="1"/>
  <c r="U7" s="1"/>
  <c r="T7" s="1"/>
  <c r="S7" s="1"/>
  <c r="R7" s="1"/>
  <c r="Q7" s="1"/>
  <c r="P7" s="1"/>
  <c r="O7" s="1"/>
  <c r="N7" s="1"/>
  <c r="M7" s="1"/>
  <c r="L7" s="1"/>
  <c r="K7" s="1"/>
  <c r="J7" s="1"/>
  <c r="I7" s="1"/>
  <c r="H7" s="1"/>
  <c r="G7" s="1"/>
  <c r="F7" s="1"/>
  <c r="E7" s="1"/>
  <c r="D7" s="1"/>
  <c r="C7" s="1"/>
  <c r="B7" s="1"/>
  <c r="A7" s="1"/>
  <c r="AM6"/>
  <c r="AN6" s="1"/>
  <c r="AO6" s="1"/>
  <c r="AP6" s="1"/>
  <c r="AQ6" s="1"/>
  <c r="AR6" s="1"/>
  <c r="AS6" s="1"/>
  <c r="AT6" s="1"/>
  <c r="AU6" s="1"/>
  <c r="AV6" s="1"/>
  <c r="AW6" s="1"/>
  <c r="AX6" s="1"/>
  <c r="AY6" s="1"/>
  <c r="AZ6" s="1"/>
  <c r="BA6" s="1"/>
  <c r="BB6" s="1"/>
  <c r="BC6" s="1"/>
  <c r="BD6" s="1"/>
  <c r="BE6" s="1"/>
  <c r="AB6"/>
  <c r="AC6" s="1"/>
  <c r="AD6" s="1"/>
  <c r="AE6" s="1"/>
  <c r="AF6" s="1"/>
  <c r="AG6" s="1"/>
  <c r="Z6"/>
  <c r="Y6" s="1"/>
  <c r="X6" s="1"/>
  <c r="W6" s="1"/>
  <c r="V6" s="1"/>
  <c r="U6" s="1"/>
  <c r="T6" s="1"/>
  <c r="S6" s="1"/>
  <c r="R6" s="1"/>
  <c r="B6"/>
  <c r="C6" s="1"/>
  <c r="D6" s="1"/>
  <c r="E6" s="1"/>
  <c r="F6" s="1"/>
  <c r="G6" s="1"/>
  <c r="H6" s="1"/>
  <c r="I6" s="1"/>
  <c r="J6" s="1"/>
  <c r="K6" s="1"/>
  <c r="L6" s="1"/>
  <c r="M6" s="1"/>
  <c r="N6" s="1"/>
  <c r="O6" s="1"/>
  <c r="P6" s="1"/>
  <c r="Q6" s="1"/>
  <c r="B519" i="10"/>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O8"/>
  <c r="B8"/>
  <c r="N7"/>
  <c r="N8" s="1"/>
  <c r="C7"/>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C53" s="1"/>
  <c r="C54" s="1"/>
  <c r="C55" s="1"/>
  <c r="C56" s="1"/>
  <c r="C57" s="1"/>
  <c r="C58" s="1"/>
  <c r="C59" s="1"/>
  <c r="C60" s="1"/>
  <c r="C61" s="1"/>
  <c r="C62" s="1"/>
  <c r="C63" s="1"/>
  <c r="C64" s="1"/>
  <c r="C65" s="1"/>
  <c r="C66" s="1"/>
  <c r="C67" s="1"/>
  <c r="C68" s="1"/>
  <c r="C69" s="1"/>
  <c r="C70" s="1"/>
  <c r="C71" s="1"/>
  <c r="C72" s="1"/>
  <c r="C73" s="1"/>
  <c r="C74" s="1"/>
  <c r="C75" s="1"/>
  <c r="C76" s="1"/>
  <c r="C77" s="1"/>
  <c r="C78" s="1"/>
  <c r="C79" s="1"/>
  <c r="C80" s="1"/>
  <c r="C81" s="1"/>
  <c r="C82" s="1"/>
  <c r="C83" s="1"/>
  <c r="C84" s="1"/>
  <c r="C85" s="1"/>
  <c r="C86" s="1"/>
  <c r="C87" s="1"/>
  <c r="C88" s="1"/>
  <c r="C89" s="1"/>
  <c r="C90" s="1"/>
  <c r="C91" s="1"/>
  <c r="C92" s="1"/>
  <c r="C93" s="1"/>
  <c r="C94" s="1"/>
  <c r="C95" s="1"/>
  <c r="C96" s="1"/>
  <c r="C97" s="1"/>
  <c r="C98" s="1"/>
  <c r="C99" s="1"/>
  <c r="C100" s="1"/>
  <c r="C101" s="1"/>
  <c r="C102" s="1"/>
  <c r="C103" s="1"/>
  <c r="C104" s="1"/>
  <c r="C105" s="1"/>
  <c r="C106" s="1"/>
  <c r="C107" s="1"/>
  <c r="C108" s="1"/>
  <c r="C109" s="1"/>
  <c r="C110" s="1"/>
  <c r="C111" s="1"/>
  <c r="C112" s="1"/>
  <c r="C113" s="1"/>
  <c r="C114" s="1"/>
  <c r="C115" s="1"/>
  <c r="C116" s="1"/>
  <c r="C117" s="1"/>
  <c r="C118" s="1"/>
  <c r="C119" s="1"/>
  <c r="C120" s="1"/>
  <c r="C121" s="1"/>
  <c r="C122" s="1"/>
  <c r="C123" s="1"/>
  <c r="C124" s="1"/>
  <c r="C125" s="1"/>
  <c r="C126" s="1"/>
  <c r="C127" s="1"/>
  <c r="C128" s="1"/>
  <c r="C129" s="1"/>
  <c r="C130" s="1"/>
  <c r="C131" s="1"/>
  <c r="C132" s="1"/>
  <c r="C133" s="1"/>
  <c r="C134" s="1"/>
  <c r="C135" s="1"/>
  <c r="C136" s="1"/>
  <c r="C137" s="1"/>
  <c r="C138" s="1"/>
  <c r="C139" s="1"/>
  <c r="C140" s="1"/>
  <c r="C141" s="1"/>
  <c r="C142" s="1"/>
  <c r="C143" s="1"/>
  <c r="C144" s="1"/>
  <c r="C145" s="1"/>
  <c r="C146" s="1"/>
  <c r="C147" s="1"/>
  <c r="C148" s="1"/>
  <c r="C149" s="1"/>
  <c r="C150" s="1"/>
  <c r="C151" s="1"/>
  <c r="C152" s="1"/>
  <c r="C153" s="1"/>
  <c r="C154" s="1"/>
  <c r="C155" s="1"/>
  <c r="C156" s="1"/>
  <c r="C157" s="1"/>
  <c r="C158" s="1"/>
  <c r="C159" s="1"/>
  <c r="C160" s="1"/>
  <c r="C161" s="1"/>
  <c r="C162" s="1"/>
  <c r="C163" s="1"/>
  <c r="C164" s="1"/>
  <c r="C165" s="1"/>
  <c r="C166" s="1"/>
  <c r="C167" s="1"/>
  <c r="C168" s="1"/>
  <c r="C169" s="1"/>
  <c r="C170" s="1"/>
  <c r="C171" s="1"/>
  <c r="C172" s="1"/>
  <c r="C173" s="1"/>
  <c r="C174" s="1"/>
  <c r="C175" s="1"/>
  <c r="C176" s="1"/>
  <c r="C177" s="1"/>
  <c r="C178" s="1"/>
  <c r="C179" s="1"/>
  <c r="C180" s="1"/>
  <c r="C181" s="1"/>
  <c r="C182" s="1"/>
  <c r="C183" s="1"/>
  <c r="C184" s="1"/>
  <c r="C185" s="1"/>
  <c r="C186" s="1"/>
  <c r="C187" s="1"/>
  <c r="C188" s="1"/>
  <c r="C189" s="1"/>
  <c r="C190" s="1"/>
  <c r="C191" s="1"/>
  <c r="C192" s="1"/>
  <c r="C193" s="1"/>
  <c r="C194" s="1"/>
  <c r="C195" s="1"/>
  <c r="C196" s="1"/>
  <c r="C197" s="1"/>
  <c r="C198" s="1"/>
  <c r="C199" s="1"/>
  <c r="C200" s="1"/>
  <c r="C201" s="1"/>
  <c r="C202" s="1"/>
  <c r="C203" s="1"/>
  <c r="C204" s="1"/>
  <c r="C205" s="1"/>
  <c r="C206" s="1"/>
  <c r="C207" s="1"/>
  <c r="C208" s="1"/>
  <c r="C209" s="1"/>
  <c r="C210" s="1"/>
  <c r="C211" s="1"/>
  <c r="C212" s="1"/>
  <c r="C213" s="1"/>
  <c r="C214" s="1"/>
  <c r="C215" s="1"/>
  <c r="C216" s="1"/>
  <c r="C217" s="1"/>
  <c r="C218" s="1"/>
  <c r="C219" s="1"/>
  <c r="C220" s="1"/>
  <c r="C221" s="1"/>
  <c r="C222" s="1"/>
  <c r="C223" s="1"/>
  <c r="C224" s="1"/>
  <c r="C225" s="1"/>
  <c r="C226" s="1"/>
  <c r="C227" s="1"/>
  <c r="C228" s="1"/>
  <c r="C229" s="1"/>
  <c r="C230" s="1"/>
  <c r="C231" s="1"/>
  <c r="C232" s="1"/>
  <c r="C233" s="1"/>
  <c r="C234" s="1"/>
  <c r="C235" s="1"/>
  <c r="C236" s="1"/>
  <c r="C237" s="1"/>
  <c r="C238" s="1"/>
  <c r="C239" s="1"/>
  <c r="C240" s="1"/>
  <c r="C241" s="1"/>
  <c r="C242" s="1"/>
  <c r="C243" s="1"/>
  <c r="C244" s="1"/>
  <c r="C245" s="1"/>
  <c r="C246" s="1"/>
  <c r="C247" s="1"/>
  <c r="C248" s="1"/>
  <c r="C249" s="1"/>
  <c r="C250" s="1"/>
  <c r="C251" s="1"/>
  <c r="C252" s="1"/>
  <c r="C253" s="1"/>
  <c r="C254" s="1"/>
  <c r="C255" s="1"/>
  <c r="C256" s="1"/>
  <c r="C257" s="1"/>
  <c r="C258" s="1"/>
  <c r="C259" s="1"/>
  <c r="C260" s="1"/>
  <c r="C261" s="1"/>
  <c r="C262" s="1"/>
  <c r="C263" s="1"/>
  <c r="C264" s="1"/>
  <c r="C265" s="1"/>
  <c r="C266" s="1"/>
  <c r="C267" s="1"/>
  <c r="C268" s="1"/>
  <c r="C269" s="1"/>
  <c r="C270" s="1"/>
  <c r="C271" s="1"/>
  <c r="C272" s="1"/>
  <c r="C273" s="1"/>
  <c r="C274" s="1"/>
  <c r="C275" s="1"/>
  <c r="C276" s="1"/>
  <c r="C277" s="1"/>
  <c r="C278" s="1"/>
  <c r="C279" s="1"/>
  <c r="C280" s="1"/>
  <c r="C281" s="1"/>
  <c r="C282" s="1"/>
  <c r="C283" s="1"/>
  <c r="C284" s="1"/>
  <c r="C285" s="1"/>
  <c r="C286" s="1"/>
  <c r="C287" s="1"/>
  <c r="C288" s="1"/>
  <c r="C289" s="1"/>
  <c r="C290" s="1"/>
  <c r="C291" s="1"/>
  <c r="C292" s="1"/>
  <c r="C293" s="1"/>
  <c r="C294" s="1"/>
  <c r="C295" s="1"/>
  <c r="C296" s="1"/>
  <c r="C297" s="1"/>
  <c r="C298" s="1"/>
  <c r="C299" s="1"/>
  <c r="C300" s="1"/>
  <c r="C301" s="1"/>
  <c r="C302" s="1"/>
  <c r="C303" s="1"/>
  <c r="C304" s="1"/>
  <c r="C305" s="1"/>
  <c r="C306" s="1"/>
  <c r="C307" s="1"/>
  <c r="C308" s="1"/>
  <c r="C309" s="1"/>
  <c r="C310" s="1"/>
  <c r="C311" s="1"/>
  <c r="C312" s="1"/>
  <c r="C313" s="1"/>
  <c r="C314" s="1"/>
  <c r="C315" s="1"/>
  <c r="C316" s="1"/>
  <c r="C317" s="1"/>
  <c r="C318" s="1"/>
  <c r="C319" s="1"/>
  <c r="C320" s="1"/>
  <c r="C321" s="1"/>
  <c r="C322" s="1"/>
  <c r="C323" s="1"/>
  <c r="C324" s="1"/>
  <c r="C325" s="1"/>
  <c r="C326" s="1"/>
  <c r="C327" s="1"/>
  <c r="C328" s="1"/>
  <c r="C329" s="1"/>
  <c r="C330" s="1"/>
  <c r="C331" s="1"/>
  <c r="C332" s="1"/>
  <c r="C333" s="1"/>
  <c r="C334" s="1"/>
  <c r="C335" s="1"/>
  <c r="C336" s="1"/>
  <c r="C337" s="1"/>
  <c r="C338" s="1"/>
  <c r="C339" s="1"/>
  <c r="C340" s="1"/>
  <c r="C341" s="1"/>
  <c r="C342" s="1"/>
  <c r="C343" s="1"/>
  <c r="C344" s="1"/>
  <c r="C345" s="1"/>
  <c r="C346" s="1"/>
  <c r="C347" s="1"/>
  <c r="C348" s="1"/>
  <c r="C349" s="1"/>
  <c r="C350" s="1"/>
  <c r="C351" s="1"/>
  <c r="C352" s="1"/>
  <c r="C353" s="1"/>
  <c r="C354" s="1"/>
  <c r="C355" s="1"/>
  <c r="C356" s="1"/>
  <c r="C357" s="1"/>
  <c r="C358" s="1"/>
  <c r="C359" s="1"/>
  <c r="C360" s="1"/>
  <c r="C361" s="1"/>
  <c r="C362" s="1"/>
  <c r="C363" s="1"/>
  <c r="C364" s="1"/>
  <c r="C365" s="1"/>
  <c r="C366" s="1"/>
  <c r="C367" s="1"/>
  <c r="C368" s="1"/>
  <c r="C369" s="1"/>
  <c r="C370" s="1"/>
  <c r="C371" s="1"/>
  <c r="C372" s="1"/>
  <c r="C373" s="1"/>
  <c r="C374" s="1"/>
  <c r="C375" s="1"/>
  <c r="C376" s="1"/>
  <c r="C377" s="1"/>
  <c r="C378" s="1"/>
  <c r="C379" s="1"/>
  <c r="C380" s="1"/>
  <c r="C381" s="1"/>
  <c r="C382" s="1"/>
  <c r="C383" s="1"/>
  <c r="C384" s="1"/>
  <c r="C385" s="1"/>
  <c r="C386" s="1"/>
  <c r="C387" s="1"/>
  <c r="C388" s="1"/>
  <c r="C389" s="1"/>
  <c r="C390" s="1"/>
  <c r="C391" s="1"/>
  <c r="C392" s="1"/>
  <c r="C393" s="1"/>
  <c r="C394" s="1"/>
  <c r="C395" s="1"/>
  <c r="C396" s="1"/>
  <c r="C397" s="1"/>
  <c r="C398" s="1"/>
  <c r="C399" s="1"/>
  <c r="C400" s="1"/>
  <c r="C401" s="1"/>
  <c r="C402" s="1"/>
  <c r="C403" s="1"/>
  <c r="C404" s="1"/>
  <c r="C405" s="1"/>
  <c r="C406" s="1"/>
  <c r="C407" s="1"/>
  <c r="C408" s="1"/>
  <c r="C409" s="1"/>
  <c r="C410" s="1"/>
  <c r="C411" s="1"/>
  <c r="C412" s="1"/>
  <c r="C413" s="1"/>
  <c r="C414" s="1"/>
  <c r="C415" s="1"/>
  <c r="C416" s="1"/>
  <c r="C417" s="1"/>
  <c r="C418" s="1"/>
  <c r="C419" s="1"/>
  <c r="C420" s="1"/>
  <c r="C421" s="1"/>
  <c r="C422" s="1"/>
  <c r="C423" s="1"/>
  <c r="C424" s="1"/>
  <c r="C425" s="1"/>
  <c r="C426" s="1"/>
  <c r="C427" s="1"/>
  <c r="C428" s="1"/>
  <c r="C429" s="1"/>
  <c r="C430" s="1"/>
  <c r="C431" s="1"/>
  <c r="C432" s="1"/>
  <c r="C433" s="1"/>
  <c r="C434" s="1"/>
  <c r="C435" s="1"/>
  <c r="C436" s="1"/>
  <c r="C437" s="1"/>
  <c r="C438" s="1"/>
  <c r="C439" s="1"/>
  <c r="C440" s="1"/>
  <c r="C441" s="1"/>
  <c r="C442" s="1"/>
  <c r="C443" s="1"/>
  <c r="C444" s="1"/>
  <c r="C445" s="1"/>
  <c r="C446" s="1"/>
  <c r="C447" s="1"/>
  <c r="C448" s="1"/>
  <c r="C449" s="1"/>
  <c r="C450" s="1"/>
  <c r="C451" s="1"/>
  <c r="C452" s="1"/>
  <c r="C453" s="1"/>
  <c r="C454" s="1"/>
  <c r="C455" s="1"/>
  <c r="C456" s="1"/>
  <c r="C457" s="1"/>
  <c r="C458" s="1"/>
  <c r="C459" s="1"/>
  <c r="C460" s="1"/>
  <c r="C461" s="1"/>
  <c r="C462" s="1"/>
  <c r="C463" s="1"/>
  <c r="C464" s="1"/>
  <c r="C465" s="1"/>
  <c r="C466" s="1"/>
  <c r="C467" s="1"/>
  <c r="C468" s="1"/>
  <c r="C469" s="1"/>
  <c r="C470" s="1"/>
  <c r="C471" s="1"/>
  <c r="C472" s="1"/>
  <c r="C473" s="1"/>
  <c r="C474" s="1"/>
  <c r="C475" s="1"/>
  <c r="C476" s="1"/>
  <c r="C477" s="1"/>
  <c r="C478" s="1"/>
  <c r="C479" s="1"/>
  <c r="C480" s="1"/>
  <c r="C481" s="1"/>
  <c r="C482" s="1"/>
  <c r="C483" s="1"/>
  <c r="C484" s="1"/>
  <c r="C485" s="1"/>
  <c r="C486" s="1"/>
  <c r="C487" s="1"/>
  <c r="C488" s="1"/>
  <c r="C489" s="1"/>
  <c r="C490" s="1"/>
  <c r="C491" s="1"/>
  <c r="C492" s="1"/>
  <c r="C493" s="1"/>
  <c r="C494" s="1"/>
  <c r="C495" s="1"/>
  <c r="C496" s="1"/>
  <c r="C497" s="1"/>
  <c r="C498" s="1"/>
  <c r="C499" s="1"/>
  <c r="C500" s="1"/>
  <c r="C501" s="1"/>
  <c r="C502" s="1"/>
  <c r="C503" s="1"/>
  <c r="C504" s="1"/>
  <c r="C505" s="1"/>
  <c r="C506" s="1"/>
  <c r="C507" s="1"/>
  <c r="C508" s="1"/>
  <c r="C509" s="1"/>
  <c r="C510" s="1"/>
  <c r="C511" s="1"/>
  <c r="C512" s="1"/>
  <c r="C513" s="1"/>
  <c r="C514" s="1"/>
  <c r="C515" s="1"/>
  <c r="C516" s="1"/>
  <c r="C517" s="1"/>
  <c r="C518" s="1"/>
  <c r="C519" s="1"/>
  <c r="C520" s="1"/>
  <c r="C521" s="1"/>
  <c r="C522" s="1"/>
  <c r="C523" s="1"/>
  <c r="C524" s="1"/>
  <c r="C525" s="1"/>
  <c r="C526" s="1"/>
  <c r="C527" s="1"/>
  <c r="C528" s="1"/>
  <c r="C529" s="1"/>
  <c r="C530" s="1"/>
  <c r="C531" s="1"/>
  <c r="C532" s="1"/>
  <c r="C533" s="1"/>
  <c r="C534" s="1"/>
  <c r="C535" s="1"/>
  <c r="C536" s="1"/>
  <c r="C537" s="1"/>
  <c r="C538" s="1"/>
  <c r="C539" s="1"/>
  <c r="C540" s="1"/>
  <c r="C541" s="1"/>
  <c r="C542" s="1"/>
  <c r="C543" s="1"/>
  <c r="C544" s="1"/>
  <c r="C545" s="1"/>
  <c r="C546" s="1"/>
  <c r="C547" s="1"/>
  <c r="C548" s="1"/>
  <c r="C549" s="1"/>
  <c r="C550" s="1"/>
  <c r="C551" s="1"/>
  <c r="C552" s="1"/>
  <c r="C553" s="1"/>
  <c r="C554" s="1"/>
  <c r="C555" s="1"/>
  <c r="C556" s="1"/>
  <c r="C557" s="1"/>
  <c r="C558" s="1"/>
  <c r="C559" s="1"/>
  <c r="C560" s="1"/>
  <c r="C561" s="1"/>
  <c r="C562" s="1"/>
  <c r="C563" s="1"/>
  <c r="C564" s="1"/>
  <c r="C565" s="1"/>
  <c r="C566" s="1"/>
  <c r="C567" s="1"/>
  <c r="C568" s="1"/>
  <c r="C569" s="1"/>
  <c r="C570" s="1"/>
  <c r="C571" s="1"/>
  <c r="C572" s="1"/>
  <c r="C573" s="1"/>
  <c r="C574" s="1"/>
  <c r="C575" s="1"/>
  <c r="C576" s="1"/>
  <c r="C577" s="1"/>
  <c r="C578" s="1"/>
  <c r="C579" s="1"/>
  <c r="C580" s="1"/>
  <c r="C581" s="1"/>
  <c r="C582" s="1"/>
  <c r="C583" s="1"/>
  <c r="C584" s="1"/>
  <c r="C585" s="1"/>
  <c r="C586" s="1"/>
  <c r="C587" s="1"/>
  <c r="C588" s="1"/>
  <c r="C589" s="1"/>
  <c r="C590" s="1"/>
  <c r="C591" s="1"/>
  <c r="C592" s="1"/>
  <c r="C593" s="1"/>
  <c r="C594" s="1"/>
  <c r="C595" s="1"/>
  <c r="C596" s="1"/>
  <c r="C597" s="1"/>
  <c r="C598" s="1"/>
  <c r="C599" s="1"/>
  <c r="C600" s="1"/>
  <c r="C601" s="1"/>
  <c r="C602" s="1"/>
  <c r="C603" s="1"/>
  <c r="C604" s="1"/>
  <c r="C605" s="1"/>
  <c r="C606" s="1"/>
  <c r="C607" s="1"/>
  <c r="Z6"/>
  <c r="Y6"/>
  <c r="X6"/>
  <c r="W6"/>
  <c r="V6"/>
  <c r="U6"/>
  <c r="T6"/>
  <c r="S6"/>
  <c r="R6"/>
  <c r="Q6"/>
  <c r="Q5"/>
  <c r="R5" s="1"/>
  <c r="D2"/>
  <c r="D1"/>
  <c r="I19" i="3"/>
  <c r="AD46" l="1"/>
  <c r="AE45"/>
  <c r="AE47"/>
  <c r="AE35"/>
  <c r="AD50"/>
  <c r="AG38"/>
  <c r="AF39"/>
  <c r="AF40" s="1"/>
  <c r="AG43"/>
  <c r="AF44"/>
  <c r="AG33"/>
  <c r="AF34"/>
  <c r="AJ26"/>
  <c r="P21" i="22"/>
  <c r="P20" s="1"/>
  <c r="Q24"/>
  <c r="Z3" i="10"/>
  <c r="Q21" i="22"/>
  <c r="Q25"/>
  <c r="F41"/>
  <c r="G41" s="1"/>
  <c r="H41" s="1"/>
  <c r="R7" i="10"/>
  <c r="S5"/>
  <c r="N9"/>
  <c r="O9" s="1"/>
  <c r="Q7"/>
  <c r="G7"/>
  <c r="K7"/>
  <c r="I8" s="1"/>
  <c r="F8"/>
  <c r="F704"/>
  <c r="F700"/>
  <c r="F696"/>
  <c r="F692"/>
  <c r="F688"/>
  <c r="F684"/>
  <c r="F680"/>
  <c r="F676"/>
  <c r="F672"/>
  <c r="F668"/>
  <c r="F664"/>
  <c r="F660"/>
  <c r="F656"/>
  <c r="F652"/>
  <c r="F648"/>
  <c r="F644"/>
  <c r="F640"/>
  <c r="F703"/>
  <c r="F699"/>
  <c r="F695"/>
  <c r="F691"/>
  <c r="F687"/>
  <c r="F683"/>
  <c r="F679"/>
  <c r="F675"/>
  <c r="F671"/>
  <c r="F667"/>
  <c r="F663"/>
  <c r="F659"/>
  <c r="F655"/>
  <c r="F651"/>
  <c r="F647"/>
  <c r="F643"/>
  <c r="F702"/>
  <c r="F694"/>
  <c r="F686"/>
  <c r="F678"/>
  <c r="F670"/>
  <c r="F662"/>
  <c r="F654"/>
  <c r="F646"/>
  <c r="F639"/>
  <c r="F635"/>
  <c r="F631"/>
  <c r="F627"/>
  <c r="F623"/>
  <c r="F619"/>
  <c r="F615"/>
  <c r="F611"/>
  <c r="F701"/>
  <c r="F693"/>
  <c r="F685"/>
  <c r="F677"/>
  <c r="F669"/>
  <c r="F661"/>
  <c r="F653"/>
  <c r="F645"/>
  <c r="F638"/>
  <c r="F634"/>
  <c r="F630"/>
  <c r="F626"/>
  <c r="F622"/>
  <c r="F618"/>
  <c r="F614"/>
  <c r="F610"/>
  <c r="F690"/>
  <c r="F674"/>
  <c r="F658"/>
  <c r="F642"/>
  <c r="F633"/>
  <c r="F625"/>
  <c r="F617"/>
  <c r="F609"/>
  <c r="F689"/>
  <c r="F673"/>
  <c r="F657"/>
  <c r="F641"/>
  <c r="F632"/>
  <c r="F624"/>
  <c r="F616"/>
  <c r="F682"/>
  <c r="F650"/>
  <c r="F629"/>
  <c r="F613"/>
  <c r="F681"/>
  <c r="F649"/>
  <c r="F628"/>
  <c r="F612"/>
  <c r="F665"/>
  <c r="F620"/>
  <c r="F698"/>
  <c r="F637"/>
  <c r="F697"/>
  <c r="F636"/>
  <c r="F666"/>
  <c r="F621"/>
  <c r="P27" i="22"/>
  <c r="P19"/>
  <c r="Q20"/>
  <c r="AE46" i="3" l="1"/>
  <c r="AF45"/>
  <c r="AF46" s="1"/>
  <c r="AF47"/>
  <c r="AF35"/>
  <c r="AE50"/>
  <c r="AH43"/>
  <c r="AG44"/>
  <c r="AH33"/>
  <c r="AG34"/>
  <c r="AH38"/>
  <c r="AG39"/>
  <c r="AG40" s="1"/>
  <c r="AK26"/>
  <c r="S7" i="10"/>
  <c r="T5"/>
  <c r="I41" i="22"/>
  <c r="P28"/>
  <c r="Q27"/>
  <c r="K8" i="10"/>
  <c r="J8"/>
  <c r="P9"/>
  <c r="N10"/>
  <c r="Q19" i="22"/>
  <c r="P18"/>
  <c r="P8" i="10"/>
  <c r="D8" s="1"/>
  <c r="AG35" i="3" l="1"/>
  <c r="AG45"/>
  <c r="AG47"/>
  <c r="AF50"/>
  <c r="AI33"/>
  <c r="AH34"/>
  <c r="AI38"/>
  <c r="AH39"/>
  <c r="AH40" s="1"/>
  <c r="AI43"/>
  <c r="AH44"/>
  <c r="AL26"/>
  <c r="E8" i="10"/>
  <c r="G28" i="6"/>
  <c r="G27" s="1"/>
  <c r="N11" i="10"/>
  <c r="P10"/>
  <c r="J9"/>
  <c r="I9"/>
  <c r="T7"/>
  <c r="U5"/>
  <c r="J41" i="22"/>
  <c r="Q18"/>
  <c r="P17"/>
  <c r="O10" i="10"/>
  <c r="P29" i="22"/>
  <c r="Q28"/>
  <c r="H8" i="10"/>
  <c r="AG46" i="3" l="1"/>
  <c r="AG50"/>
  <c r="AH45"/>
  <c r="AH47"/>
  <c r="AH35"/>
  <c r="AJ38"/>
  <c r="AI39"/>
  <c r="AI40" s="1"/>
  <c r="AJ43"/>
  <c r="AI44"/>
  <c r="AJ33"/>
  <c r="AI34"/>
  <c r="AM26"/>
  <c r="G8" i="10"/>
  <c r="F9" s="1"/>
  <c r="O11"/>
  <c r="H9"/>
  <c r="P11"/>
  <c r="N12"/>
  <c r="Q17" i="22"/>
  <c r="P16"/>
  <c r="K9" i="10"/>
  <c r="K41" i="22"/>
  <c r="L41" s="1"/>
  <c r="Q29"/>
  <c r="P30"/>
  <c r="V5" i="10"/>
  <c r="U7"/>
  <c r="AH46" i="3" l="1"/>
  <c r="AI35"/>
  <c r="AI45"/>
  <c r="AI47"/>
  <c r="AH50"/>
  <c r="AK43"/>
  <c r="AJ44"/>
  <c r="AK33"/>
  <c r="AJ34"/>
  <c r="AK38"/>
  <c r="AJ39"/>
  <c r="AJ40" s="1"/>
  <c r="AN26"/>
  <c r="M41" i="22"/>
  <c r="N41" s="1"/>
  <c r="Q16"/>
  <c r="P15"/>
  <c r="Q30"/>
  <c r="P31"/>
  <c r="P12" i="10"/>
  <c r="N13"/>
  <c r="O12"/>
  <c r="V7"/>
  <c r="W5"/>
  <c r="J10"/>
  <c r="I10"/>
  <c r="K10" s="1"/>
  <c r="D9"/>
  <c r="E9" s="1"/>
  <c r="AI46" i="3" l="1"/>
  <c r="AJ35"/>
  <c r="AJ45"/>
  <c r="AJ47"/>
  <c r="AI50"/>
  <c r="AL33"/>
  <c r="AK34"/>
  <c r="AL38"/>
  <c r="AK39"/>
  <c r="AK40" s="1"/>
  <c r="AL43"/>
  <c r="AK44"/>
  <c r="J11" i="10"/>
  <c r="I11"/>
  <c r="P13"/>
  <c r="N14"/>
  <c r="Q15" i="22"/>
  <c r="P14"/>
  <c r="Q14" s="1"/>
  <c r="G9" i="10"/>
  <c r="W7"/>
  <c r="X5"/>
  <c r="H10"/>
  <c r="O13"/>
  <c r="Q31" i="22"/>
  <c r="P32"/>
  <c r="Q32" s="1"/>
  <c r="O41"/>
  <c r="AJ46" i="3" l="1"/>
  <c r="AK45"/>
  <c r="AK47"/>
  <c r="AK35"/>
  <c r="AJ50"/>
  <c r="AM38"/>
  <c r="AL39"/>
  <c r="AL40" s="1"/>
  <c r="AM43"/>
  <c r="AL44"/>
  <c r="AM33"/>
  <c r="AL34"/>
  <c r="O14" i="10"/>
  <c r="H11"/>
  <c r="F10"/>
  <c r="D10" s="1"/>
  <c r="E10" s="1"/>
  <c r="P41" i="22"/>
  <c r="Q41" s="1"/>
  <c r="N15" i="10"/>
  <c r="P14"/>
  <c r="X7"/>
  <c r="Y5"/>
  <c r="K11"/>
  <c r="AK46" i="3" l="1"/>
  <c r="AL45"/>
  <c r="AL47"/>
  <c r="AL35"/>
  <c r="AK50"/>
  <c r="AN43"/>
  <c r="AN44" s="1"/>
  <c r="AM44"/>
  <c r="AN33"/>
  <c r="AN34" s="1"/>
  <c r="AM34"/>
  <c r="AN38"/>
  <c r="AN39" s="1"/>
  <c r="AN40" s="1"/>
  <c r="AM39"/>
  <c r="AM40" s="1"/>
  <c r="O15" i="10"/>
  <c r="G10"/>
  <c r="J12"/>
  <c r="I12"/>
  <c r="K12" s="1"/>
  <c r="Z5"/>
  <c r="Z7" s="1"/>
  <c r="Y7"/>
  <c r="P15"/>
  <c r="N16"/>
  <c r="AL46" i="3" l="1"/>
  <c r="AN45"/>
  <c r="AN47"/>
  <c r="AM35"/>
  <c r="AN35"/>
  <c r="AN50" s="1"/>
  <c r="AM45"/>
  <c r="AM47"/>
  <c r="AL50"/>
  <c r="J13" i="10"/>
  <c r="I13"/>
  <c r="P16"/>
  <c r="N17"/>
  <c r="F11"/>
  <c r="D11" s="1"/>
  <c r="E11" s="1"/>
  <c r="H12"/>
  <c r="O16"/>
  <c r="AN46" i="3" l="1"/>
  <c r="AM46"/>
  <c r="D47"/>
  <c r="G21" i="6" s="1"/>
  <c r="AM50" i="3"/>
  <c r="H13" i="10"/>
  <c r="O17"/>
  <c r="G11"/>
  <c r="K13"/>
  <c r="P17"/>
  <c r="N18"/>
  <c r="G22" i="6" l="1"/>
  <c r="D48" i="3"/>
  <c r="D27" s="1"/>
  <c r="J14" i="10"/>
  <c r="I14"/>
  <c r="N19"/>
  <c r="P18"/>
  <c r="O18"/>
  <c r="F12"/>
  <c r="D12" s="1"/>
  <c r="E12" s="1"/>
  <c r="G12" s="1"/>
  <c r="O19" l="1"/>
  <c r="H14"/>
  <c r="F13"/>
  <c r="D13" s="1"/>
  <c r="E13" s="1"/>
  <c r="G13" s="1"/>
  <c r="N20"/>
  <c r="P19"/>
  <c r="K14"/>
  <c r="O20" l="1"/>
  <c r="F14"/>
  <c r="D14" s="1"/>
  <c r="E14" s="1"/>
  <c r="G14" s="1"/>
  <c r="J15"/>
  <c r="I15"/>
  <c r="P20"/>
  <c r="N21"/>
  <c r="O21" s="1"/>
  <c r="H15" l="1"/>
  <c r="F15"/>
  <c r="D15" s="1"/>
  <c r="E15" s="1"/>
  <c r="G15" s="1"/>
  <c r="K15"/>
  <c r="N22"/>
  <c r="P21"/>
  <c r="F16" l="1"/>
  <c r="D16" s="1"/>
  <c r="E16" s="1"/>
  <c r="G16" s="1"/>
  <c r="P22"/>
  <c r="N23"/>
  <c r="J16"/>
  <c r="I16"/>
  <c r="K16" s="1"/>
  <c r="O22"/>
  <c r="F17" l="1"/>
  <c r="D17" s="1"/>
  <c r="E17" s="1"/>
  <c r="G17" s="1"/>
  <c r="N24"/>
  <c r="P23"/>
  <c r="J17"/>
  <c r="I17"/>
  <c r="O23"/>
  <c r="O24" s="1"/>
  <c r="H16"/>
  <c r="H17" l="1"/>
  <c r="F18"/>
  <c r="D18" s="1"/>
  <c r="E18" s="1"/>
  <c r="G18" s="1"/>
  <c r="P24"/>
  <c r="N25"/>
  <c r="O25" s="1"/>
  <c r="K17"/>
  <c r="F19" l="1"/>
  <c r="D19" s="1"/>
  <c r="E19" s="1"/>
  <c r="G19" s="1"/>
  <c r="J18"/>
  <c r="I18"/>
  <c r="N26"/>
  <c r="P25"/>
  <c r="F20" l="1"/>
  <c r="D20" s="1"/>
  <c r="E20" s="1"/>
  <c r="G20" s="1"/>
  <c r="H18"/>
  <c r="K18"/>
  <c r="P26"/>
  <c r="N27"/>
  <c r="O26"/>
  <c r="F21" l="1"/>
  <c r="D21" s="1"/>
  <c r="E21" s="1"/>
  <c r="G21" s="1"/>
  <c r="N28"/>
  <c r="P27"/>
  <c r="J19"/>
  <c r="I19"/>
  <c r="K19" s="1"/>
  <c r="O27"/>
  <c r="O28" s="1"/>
  <c r="F22" l="1"/>
  <c r="D22" s="1"/>
  <c r="E22" s="1"/>
  <c r="G22" s="1"/>
  <c r="P28"/>
  <c r="N29"/>
  <c r="O29" s="1"/>
  <c r="J20"/>
  <c r="I20"/>
  <c r="H19"/>
  <c r="H20" l="1"/>
  <c r="F23"/>
  <c r="D23" s="1"/>
  <c r="E23" s="1"/>
  <c r="G23" s="1"/>
  <c r="K20"/>
  <c r="N30"/>
  <c r="P29"/>
  <c r="F24" l="1"/>
  <c r="D24" s="1"/>
  <c r="E24" s="1"/>
  <c r="G24" s="1"/>
  <c r="P30"/>
  <c r="N31"/>
  <c r="O30"/>
  <c r="J21"/>
  <c r="I21"/>
  <c r="K21" s="1"/>
  <c r="O31" l="1"/>
  <c r="J22"/>
  <c r="I22"/>
  <c r="F25"/>
  <c r="D25" s="1"/>
  <c r="E25" s="1"/>
  <c r="G25" s="1"/>
  <c r="H21"/>
  <c r="P31"/>
  <c r="N32"/>
  <c r="O32" l="1"/>
  <c r="H22"/>
  <c r="F26"/>
  <c r="D26" s="1"/>
  <c r="E26" s="1"/>
  <c r="G26" s="1"/>
  <c r="P32"/>
  <c r="N33"/>
  <c r="K22"/>
  <c r="F27" l="1"/>
  <c r="D27" s="1"/>
  <c r="E27" s="1"/>
  <c r="G27" s="1"/>
  <c r="J23"/>
  <c r="I23"/>
  <c r="N34"/>
  <c r="P33"/>
  <c r="O33"/>
  <c r="O34" l="1"/>
  <c r="H23"/>
  <c r="F28"/>
  <c r="D28" s="1"/>
  <c r="E28" s="1"/>
  <c r="G28" s="1"/>
  <c r="K23"/>
  <c r="P34"/>
  <c r="N35"/>
  <c r="O35" l="1"/>
  <c r="F29"/>
  <c r="D29" s="1"/>
  <c r="E29" s="1"/>
  <c r="G29" s="1"/>
  <c r="P35"/>
  <c r="N36"/>
  <c r="J24"/>
  <c r="I24"/>
  <c r="O36" l="1"/>
  <c r="H24"/>
  <c r="F30"/>
  <c r="D30" s="1"/>
  <c r="E30" s="1"/>
  <c r="G30" s="1"/>
  <c r="P36"/>
  <c r="N37"/>
  <c r="K24"/>
  <c r="F31" l="1"/>
  <c r="D31" s="1"/>
  <c r="E31" s="1"/>
  <c r="G31" s="1"/>
  <c r="J25"/>
  <c r="I25"/>
  <c r="N38"/>
  <c r="P37"/>
  <c r="O37"/>
  <c r="H25" l="1"/>
  <c r="K25"/>
  <c r="I26" s="1"/>
  <c r="F32"/>
  <c r="D32" s="1"/>
  <c r="E32" s="1"/>
  <c r="G32" s="1"/>
  <c r="P38"/>
  <c r="N39"/>
  <c r="O38"/>
  <c r="J26" l="1"/>
  <c r="H26" s="1"/>
  <c r="F33"/>
  <c r="D33" s="1"/>
  <c r="E33" s="1"/>
  <c r="G33" s="1"/>
  <c r="O39"/>
  <c r="K26"/>
  <c r="P39"/>
  <c r="N40"/>
  <c r="F34" l="1"/>
  <c r="D34" s="1"/>
  <c r="E34" s="1"/>
  <c r="G34" s="1"/>
  <c r="P40"/>
  <c r="N41"/>
  <c r="J27"/>
  <c r="I27"/>
  <c r="K27" s="1"/>
  <c r="O40"/>
  <c r="O41" l="1"/>
  <c r="F35"/>
  <c r="D35" s="1"/>
  <c r="E35" s="1"/>
  <c r="G35" s="1"/>
  <c r="J28"/>
  <c r="I28"/>
  <c r="H27"/>
  <c r="N42"/>
  <c r="O42" s="1"/>
  <c r="P41"/>
  <c r="H28" l="1"/>
  <c r="F36"/>
  <c r="D36" s="1"/>
  <c r="E36" s="1"/>
  <c r="G36" s="1"/>
  <c r="P42"/>
  <c r="N43"/>
  <c r="O43" s="1"/>
  <c r="K28"/>
  <c r="F37" l="1"/>
  <c r="D37" s="1"/>
  <c r="E37" s="1"/>
  <c r="G37" s="1"/>
  <c r="J29"/>
  <c r="I29"/>
  <c r="P43"/>
  <c r="N44"/>
  <c r="H29" l="1"/>
  <c r="F38"/>
  <c r="D38" s="1"/>
  <c r="E38" s="1"/>
  <c r="G38" s="1"/>
  <c r="P44"/>
  <c r="N45"/>
  <c r="K29"/>
  <c r="O44"/>
  <c r="F39" l="1"/>
  <c r="D39" s="1"/>
  <c r="E39" s="1"/>
  <c r="G39" s="1"/>
  <c r="O45"/>
  <c r="J30"/>
  <c r="I30"/>
  <c r="N46"/>
  <c r="P45"/>
  <c r="H30" l="1"/>
  <c r="F40"/>
  <c r="D40" s="1"/>
  <c r="E40" s="1"/>
  <c r="G40" s="1"/>
  <c r="P46"/>
  <c r="N47"/>
  <c r="O46"/>
  <c r="K30"/>
  <c r="F41" l="1"/>
  <c r="D41" s="1"/>
  <c r="E41" s="1"/>
  <c r="G41" s="1"/>
  <c r="J31"/>
  <c r="I31"/>
  <c r="O47"/>
  <c r="P47"/>
  <c r="N48"/>
  <c r="H31" l="1"/>
  <c r="F42"/>
  <c r="D42" s="1"/>
  <c r="E42" s="1"/>
  <c r="G42" s="1"/>
  <c r="O48"/>
  <c r="P48"/>
  <c r="N49"/>
  <c r="K31"/>
  <c r="O49" l="1"/>
  <c r="F43"/>
  <c r="D43" s="1"/>
  <c r="E43" s="1"/>
  <c r="G43" s="1"/>
  <c r="J32"/>
  <c r="I32"/>
  <c r="N50"/>
  <c r="P49"/>
  <c r="H32" l="1"/>
  <c r="F44"/>
  <c r="D44" s="1"/>
  <c r="E44" s="1"/>
  <c r="G44" s="1"/>
  <c r="P50"/>
  <c r="N51"/>
  <c r="O50"/>
  <c r="K32"/>
  <c r="F45" l="1"/>
  <c r="D45" s="1"/>
  <c r="E45" s="1"/>
  <c r="G45" s="1"/>
  <c r="J33"/>
  <c r="I33"/>
  <c r="O51"/>
  <c r="P51"/>
  <c r="N52"/>
  <c r="H33" l="1"/>
  <c r="O52"/>
  <c r="F46"/>
  <c r="D46" s="1"/>
  <c r="E46" s="1"/>
  <c r="G46" s="1"/>
  <c r="P52"/>
  <c r="N53"/>
  <c r="K33"/>
  <c r="O53" l="1"/>
  <c r="F47"/>
  <c r="D47" s="1"/>
  <c r="E47" s="1"/>
  <c r="G47" s="1"/>
  <c r="J34"/>
  <c r="I34"/>
  <c r="N54"/>
  <c r="P53"/>
  <c r="H34" l="1"/>
  <c r="F48"/>
  <c r="D48" s="1"/>
  <c r="E48" s="1"/>
  <c r="G48" s="1"/>
  <c r="P54"/>
  <c r="N55"/>
  <c r="O54"/>
  <c r="K34"/>
  <c r="F49" l="1"/>
  <c r="D49" s="1"/>
  <c r="E49" s="1"/>
  <c r="G49" s="1"/>
  <c r="J35"/>
  <c r="I35"/>
  <c r="O55"/>
  <c r="P55"/>
  <c r="N56"/>
  <c r="O56" l="1"/>
  <c r="H35"/>
  <c r="F50"/>
  <c r="D50" s="1"/>
  <c r="E50" s="1"/>
  <c r="G50" s="1"/>
  <c r="P56"/>
  <c r="N57"/>
  <c r="O57" s="1"/>
  <c r="K35"/>
  <c r="F51" l="1"/>
  <c r="D51" s="1"/>
  <c r="E51" s="1"/>
  <c r="G51" s="1"/>
  <c r="J36"/>
  <c r="I36"/>
  <c r="N58"/>
  <c r="P57"/>
  <c r="H36" l="1"/>
  <c r="F52"/>
  <c r="D52" s="1"/>
  <c r="E52" s="1"/>
  <c r="G52" s="1"/>
  <c r="P58"/>
  <c r="N59"/>
  <c r="K36"/>
  <c r="O58"/>
  <c r="O59" l="1"/>
  <c r="F53"/>
  <c r="D53" s="1"/>
  <c r="E53" s="1"/>
  <c r="G53" s="1"/>
  <c r="J37"/>
  <c r="I37"/>
  <c r="P59"/>
  <c r="N60"/>
  <c r="H37" l="1"/>
  <c r="F54"/>
  <c r="D54" s="1"/>
  <c r="E54" s="1"/>
  <c r="G54" s="1"/>
  <c r="P60"/>
  <c r="N61"/>
  <c r="K37"/>
  <c r="O60"/>
  <c r="O61" l="1"/>
  <c r="F55"/>
  <c r="D55" s="1"/>
  <c r="E55" s="1"/>
  <c r="G55" s="1"/>
  <c r="J38"/>
  <c r="I38"/>
  <c r="N62"/>
  <c r="P61"/>
  <c r="H38" l="1"/>
  <c r="F56"/>
  <c r="D56" s="1"/>
  <c r="E56" s="1"/>
  <c r="G56" s="1"/>
  <c r="K38"/>
  <c r="P62"/>
  <c r="N63"/>
  <c r="O62"/>
  <c r="O63" s="1"/>
  <c r="F57" l="1"/>
  <c r="D57" s="1"/>
  <c r="E57" s="1"/>
  <c r="G57" s="1"/>
  <c r="P63"/>
  <c r="N64"/>
  <c r="O64" s="1"/>
  <c r="J39"/>
  <c r="I39"/>
  <c r="H39" l="1"/>
  <c r="F58"/>
  <c r="D58" s="1"/>
  <c r="E58" s="1"/>
  <c r="G58" s="1"/>
  <c r="K39"/>
  <c r="P64"/>
  <c r="N65"/>
  <c r="F59" l="1"/>
  <c r="D59" s="1"/>
  <c r="E59" s="1"/>
  <c r="G59" s="1"/>
  <c r="N66"/>
  <c r="P65"/>
  <c r="J40"/>
  <c r="I40"/>
  <c r="K40" s="1"/>
  <c r="O65"/>
  <c r="O66" l="1"/>
  <c r="F60"/>
  <c r="D60" s="1"/>
  <c r="E60" s="1"/>
  <c r="G60" s="1"/>
  <c r="J41"/>
  <c r="I41"/>
  <c r="K41" s="1"/>
  <c r="H40"/>
  <c r="P66"/>
  <c r="N67"/>
  <c r="O67" s="1"/>
  <c r="F61" l="1"/>
  <c r="D61" s="1"/>
  <c r="E61" s="1"/>
  <c r="G61" s="1"/>
  <c r="J42"/>
  <c r="I42"/>
  <c r="P67"/>
  <c r="N68"/>
  <c r="H41"/>
  <c r="H42" l="1"/>
  <c r="F62"/>
  <c r="D62" s="1"/>
  <c r="E62" s="1"/>
  <c r="G62" s="1"/>
  <c r="P68"/>
  <c r="N69"/>
  <c r="K42"/>
  <c r="O68"/>
  <c r="O69" l="1"/>
  <c r="F63"/>
  <c r="D63" s="1"/>
  <c r="E63" s="1"/>
  <c r="G63" s="1"/>
  <c r="J43"/>
  <c r="I43"/>
  <c r="N70"/>
  <c r="P69"/>
  <c r="H43" l="1"/>
  <c r="F64"/>
  <c r="D64" s="1"/>
  <c r="E64" s="1"/>
  <c r="G64" s="1"/>
  <c r="P70"/>
  <c r="N71"/>
  <c r="O70"/>
  <c r="K43"/>
  <c r="F65" l="1"/>
  <c r="D65" s="1"/>
  <c r="E65" s="1"/>
  <c r="G65" s="1"/>
  <c r="J44"/>
  <c r="I44"/>
  <c r="O71"/>
  <c r="P71"/>
  <c r="N72"/>
  <c r="H44" l="1"/>
  <c r="O72"/>
  <c r="F66"/>
  <c r="D66" s="1"/>
  <c r="E66" s="1"/>
  <c r="G66" s="1"/>
  <c r="P72"/>
  <c r="N73"/>
  <c r="K44"/>
  <c r="O73" l="1"/>
  <c r="F67"/>
  <c r="D67" s="1"/>
  <c r="E67" s="1"/>
  <c r="G67" s="1"/>
  <c r="J45"/>
  <c r="I45"/>
  <c r="N74"/>
  <c r="P73"/>
  <c r="H45" l="1"/>
  <c r="F68"/>
  <c r="D68" s="1"/>
  <c r="E68" s="1"/>
  <c r="G68" s="1"/>
  <c r="P74"/>
  <c r="N75"/>
  <c r="K45"/>
  <c r="O74"/>
  <c r="O75" l="1"/>
  <c r="F69"/>
  <c r="D69" s="1"/>
  <c r="E69" s="1"/>
  <c r="G69" s="1"/>
  <c r="J46"/>
  <c r="I46"/>
  <c r="P75"/>
  <c r="N76"/>
  <c r="F70" l="1"/>
  <c r="D70" s="1"/>
  <c r="E70" s="1"/>
  <c r="G70" s="1"/>
  <c r="H46"/>
  <c r="P76"/>
  <c r="N77"/>
  <c r="K46"/>
  <c r="O76"/>
  <c r="F71" l="1"/>
  <c r="D71" s="1"/>
  <c r="E71" s="1"/>
  <c r="G71" s="1"/>
  <c r="J47"/>
  <c r="I47"/>
  <c r="N78"/>
  <c r="P77"/>
  <c r="O77"/>
  <c r="H47" l="1"/>
  <c r="K47"/>
  <c r="J48" s="1"/>
  <c r="F72"/>
  <c r="D72" s="1"/>
  <c r="E72" s="1"/>
  <c r="G72" s="1"/>
  <c r="P78"/>
  <c r="N79"/>
  <c r="O78"/>
  <c r="I48" l="1"/>
  <c r="H48" s="1"/>
  <c r="F73"/>
  <c r="D73" s="1"/>
  <c r="E73" s="1"/>
  <c r="G73" s="1"/>
  <c r="P79"/>
  <c r="N80"/>
  <c r="O79"/>
  <c r="K48" l="1"/>
  <c r="J49" s="1"/>
  <c r="F74"/>
  <c r="D74" s="1"/>
  <c r="E74" s="1"/>
  <c r="G74" s="1"/>
  <c r="O80"/>
  <c r="P80"/>
  <c r="N81"/>
  <c r="I49" l="1"/>
  <c r="K49" s="1"/>
  <c r="J50" s="1"/>
  <c r="F75"/>
  <c r="D75" s="1"/>
  <c r="E75" s="1"/>
  <c r="G75" s="1"/>
  <c r="O81"/>
  <c r="N82"/>
  <c r="P81"/>
  <c r="I50" l="1"/>
  <c r="K50" s="1"/>
  <c r="H49"/>
  <c r="F76"/>
  <c r="D76" s="1"/>
  <c r="E76" s="1"/>
  <c r="G76" s="1"/>
  <c r="P82"/>
  <c r="N83"/>
  <c r="O82"/>
  <c r="H50" l="1"/>
  <c r="F77"/>
  <c r="D77" s="1"/>
  <c r="E77" s="1"/>
  <c r="G77" s="1"/>
  <c r="P83"/>
  <c r="N84"/>
  <c r="J51"/>
  <c r="I51"/>
  <c r="K51" s="1"/>
  <c r="O83"/>
  <c r="O84" l="1"/>
  <c r="F78"/>
  <c r="D78" s="1"/>
  <c r="E78" s="1"/>
  <c r="G78" s="1"/>
  <c r="J52"/>
  <c r="I52"/>
  <c r="H51"/>
  <c r="P84"/>
  <c r="N85"/>
  <c r="O85" s="1"/>
  <c r="H52" l="1"/>
  <c r="F79"/>
  <c r="D79" s="1"/>
  <c r="E79" s="1"/>
  <c r="G79" s="1"/>
  <c r="K52"/>
  <c r="N86"/>
  <c r="P85"/>
  <c r="F80" l="1"/>
  <c r="D80" s="1"/>
  <c r="E80" s="1"/>
  <c r="G80" s="1"/>
  <c r="P86"/>
  <c r="N87"/>
  <c r="J53"/>
  <c r="I53"/>
  <c r="O86"/>
  <c r="O87" l="1"/>
  <c r="H53"/>
  <c r="F81"/>
  <c r="D81" s="1"/>
  <c r="E81" s="1"/>
  <c r="G81" s="1"/>
  <c r="K53"/>
  <c r="P87"/>
  <c r="N88"/>
  <c r="F82" l="1"/>
  <c r="D82" s="1"/>
  <c r="E82" s="1"/>
  <c r="G82" s="1"/>
  <c r="J54"/>
  <c r="I54"/>
  <c r="P88"/>
  <c r="N89"/>
  <c r="O88"/>
  <c r="H54" l="1"/>
  <c r="O89"/>
  <c r="F83"/>
  <c r="D83" s="1"/>
  <c r="E83" s="1"/>
  <c r="G83" s="1"/>
  <c r="N90"/>
  <c r="P89"/>
  <c r="K54"/>
  <c r="O90" l="1"/>
  <c r="F84"/>
  <c r="D84" s="1"/>
  <c r="E84" s="1"/>
  <c r="G84" s="1"/>
  <c r="P90"/>
  <c r="N91"/>
  <c r="O91" s="1"/>
  <c r="J55"/>
  <c r="I55"/>
  <c r="H55" l="1"/>
  <c r="F85"/>
  <c r="D85" s="1"/>
  <c r="E85" s="1"/>
  <c r="G85" s="1"/>
  <c r="K55"/>
  <c r="P91"/>
  <c r="N92"/>
  <c r="F86" l="1"/>
  <c r="D86" s="1"/>
  <c r="E86" s="1"/>
  <c r="G86" s="1"/>
  <c r="P92"/>
  <c r="N93"/>
  <c r="O92"/>
  <c r="J56"/>
  <c r="I56"/>
  <c r="O93" l="1"/>
  <c r="H56"/>
  <c r="F87"/>
  <c r="D87" s="1"/>
  <c r="E87" s="1"/>
  <c r="G87" s="1"/>
  <c r="K56"/>
  <c r="N94"/>
  <c r="P93"/>
  <c r="F88" l="1"/>
  <c r="D88" s="1"/>
  <c r="E88" s="1"/>
  <c r="G88" s="1"/>
  <c r="P94"/>
  <c r="N95"/>
  <c r="J57"/>
  <c r="I57"/>
  <c r="K57" s="1"/>
  <c r="O94"/>
  <c r="O95" l="1"/>
  <c r="H57"/>
  <c r="F89"/>
  <c r="D89" s="1"/>
  <c r="E89" s="1"/>
  <c r="G89" s="1"/>
  <c r="J58"/>
  <c r="I58"/>
  <c r="P95"/>
  <c r="N96"/>
  <c r="O96" l="1"/>
  <c r="H58"/>
  <c r="F90"/>
  <c r="D90" s="1"/>
  <c r="E90" s="1"/>
  <c r="G90" s="1"/>
  <c r="K58"/>
  <c r="P96"/>
  <c r="N97"/>
  <c r="F91" l="1"/>
  <c r="D91" s="1"/>
  <c r="E91" s="1"/>
  <c r="G91" s="1"/>
  <c r="N98"/>
  <c r="P97"/>
  <c r="O97"/>
  <c r="O98" s="1"/>
  <c r="J59"/>
  <c r="I59"/>
  <c r="H59" l="1"/>
  <c r="F92"/>
  <c r="D92" s="1"/>
  <c r="E92" s="1"/>
  <c r="G92" s="1"/>
  <c r="K59"/>
  <c r="P98"/>
  <c r="N99"/>
  <c r="O99" s="1"/>
  <c r="F93" l="1"/>
  <c r="D93" s="1"/>
  <c r="E93" s="1"/>
  <c r="G93" s="1"/>
  <c r="J60"/>
  <c r="I60"/>
  <c r="P99"/>
  <c r="N100"/>
  <c r="O100" s="1"/>
  <c r="H60" l="1"/>
  <c r="F94"/>
  <c r="D94" s="1"/>
  <c r="E94" s="1"/>
  <c r="G94" s="1"/>
  <c r="P100"/>
  <c r="N101"/>
  <c r="O101" s="1"/>
  <c r="K60"/>
  <c r="F95" l="1"/>
  <c r="D95" s="1"/>
  <c r="E95" s="1"/>
  <c r="G95" s="1"/>
  <c r="J61"/>
  <c r="I61"/>
  <c r="N102"/>
  <c r="P101"/>
  <c r="H61" l="1"/>
  <c r="F96"/>
  <c r="D96" s="1"/>
  <c r="E96" s="1"/>
  <c r="G96" s="1"/>
  <c r="P102"/>
  <c r="N103"/>
  <c r="K61"/>
  <c r="O102"/>
  <c r="O103" l="1"/>
  <c r="F97"/>
  <c r="D97" s="1"/>
  <c r="E97" s="1"/>
  <c r="G97" s="1"/>
  <c r="J62"/>
  <c r="I62"/>
  <c r="P103"/>
  <c r="N104"/>
  <c r="H62" l="1"/>
  <c r="F98"/>
  <c r="D98" s="1"/>
  <c r="E98" s="1"/>
  <c r="G98" s="1"/>
  <c r="P104"/>
  <c r="N105"/>
  <c r="K62"/>
  <c r="O104"/>
  <c r="O105" l="1"/>
  <c r="F99"/>
  <c r="D99" s="1"/>
  <c r="E99" s="1"/>
  <c r="G99" s="1"/>
  <c r="J63"/>
  <c r="I63"/>
  <c r="N106"/>
  <c r="P105"/>
  <c r="H63" l="1"/>
  <c r="F100"/>
  <c r="D100" s="1"/>
  <c r="E100" s="1"/>
  <c r="G100" s="1"/>
  <c r="K63"/>
  <c r="P106"/>
  <c r="N107"/>
  <c r="O106"/>
  <c r="F101" l="1"/>
  <c r="D101" s="1"/>
  <c r="E101" s="1"/>
  <c r="G101" s="1"/>
  <c r="J64"/>
  <c r="I64"/>
  <c r="O107"/>
  <c r="P107"/>
  <c r="N108"/>
  <c r="O108" l="1"/>
  <c r="F102"/>
  <c r="D102" s="1"/>
  <c r="E102" s="1"/>
  <c r="G102" s="1"/>
  <c r="H64"/>
  <c r="P108"/>
  <c r="N109"/>
  <c r="K64"/>
  <c r="F103" l="1"/>
  <c r="D103" s="1"/>
  <c r="E103" s="1"/>
  <c r="G103" s="1"/>
  <c r="N110"/>
  <c r="P109"/>
  <c r="J65"/>
  <c r="I65"/>
  <c r="K65" s="1"/>
  <c r="O109"/>
  <c r="O110" s="1"/>
  <c r="F104" l="1"/>
  <c r="D104" s="1"/>
  <c r="E104" s="1"/>
  <c r="G104" s="1"/>
  <c r="P110"/>
  <c r="N111"/>
  <c r="O111" s="1"/>
  <c r="J66"/>
  <c r="I66"/>
  <c r="H65"/>
  <c r="H66" l="1"/>
  <c r="F105"/>
  <c r="D105" s="1"/>
  <c r="E105" s="1"/>
  <c r="G105" s="1"/>
  <c r="K66"/>
  <c r="P111"/>
  <c r="N112"/>
  <c r="F106" l="1"/>
  <c r="D106" s="1"/>
  <c r="E106" s="1"/>
  <c r="G106" s="1"/>
  <c r="P112"/>
  <c r="N113"/>
  <c r="O112"/>
  <c r="J67"/>
  <c r="I67"/>
  <c r="K67" s="1"/>
  <c r="O113" l="1"/>
  <c r="H67"/>
  <c r="F107"/>
  <c r="D107" s="1"/>
  <c r="E107" s="1"/>
  <c r="G107" s="1"/>
  <c r="J68"/>
  <c r="I68"/>
  <c r="N114"/>
  <c r="P113"/>
  <c r="O114" l="1"/>
  <c r="H68"/>
  <c r="F108"/>
  <c r="D108" s="1"/>
  <c r="E108" s="1"/>
  <c r="G108" s="1"/>
  <c r="K68"/>
  <c r="P114"/>
  <c r="N115"/>
  <c r="F109" l="1"/>
  <c r="D109" s="1"/>
  <c r="E109" s="1"/>
  <c r="G109" s="1"/>
  <c r="P115"/>
  <c r="N116"/>
  <c r="O115"/>
  <c r="J69"/>
  <c r="I69"/>
  <c r="O116" l="1"/>
  <c r="H69"/>
  <c r="F110"/>
  <c r="D110" s="1"/>
  <c r="E110" s="1"/>
  <c r="G110" s="1"/>
  <c r="K69"/>
  <c r="P116"/>
  <c r="N117"/>
  <c r="F111" l="1"/>
  <c r="D111" s="1"/>
  <c r="E111" s="1"/>
  <c r="G111" s="1"/>
  <c r="J70"/>
  <c r="I70"/>
  <c r="N118"/>
  <c r="P117"/>
  <c r="O117"/>
  <c r="H70" l="1"/>
  <c r="F112"/>
  <c r="D112" s="1"/>
  <c r="E112" s="1"/>
  <c r="G112" s="1"/>
  <c r="K70"/>
  <c r="P118"/>
  <c r="N119"/>
  <c r="O118"/>
  <c r="O119" l="1"/>
  <c r="F113"/>
  <c r="D113" s="1"/>
  <c r="E113" s="1"/>
  <c r="G113" s="1"/>
  <c r="P119"/>
  <c r="N120"/>
  <c r="O120" s="1"/>
  <c r="J71"/>
  <c r="I71"/>
  <c r="H71" l="1"/>
  <c r="F114"/>
  <c r="D114" s="1"/>
  <c r="E114" s="1"/>
  <c r="G114" s="1"/>
  <c r="K71"/>
  <c r="P120"/>
  <c r="N121"/>
  <c r="F115" l="1"/>
  <c r="D115" s="1"/>
  <c r="E115" s="1"/>
  <c r="G115" s="1"/>
  <c r="N122"/>
  <c r="P121"/>
  <c r="J72"/>
  <c r="I72"/>
  <c r="K72" s="1"/>
  <c r="O121"/>
  <c r="O122" s="1"/>
  <c r="F116" l="1"/>
  <c r="D116" s="1"/>
  <c r="E116" s="1"/>
  <c r="G116" s="1"/>
  <c r="J73"/>
  <c r="I73"/>
  <c r="H72"/>
  <c r="P122"/>
  <c r="N123"/>
  <c r="O123" s="1"/>
  <c r="H73" l="1"/>
  <c r="F117"/>
  <c r="D117" s="1"/>
  <c r="E117" s="1"/>
  <c r="G117" s="1"/>
  <c r="K73"/>
  <c r="P123"/>
  <c r="N124"/>
  <c r="F118" l="1"/>
  <c r="D118" s="1"/>
  <c r="E118" s="1"/>
  <c r="G118" s="1"/>
  <c r="P124"/>
  <c r="N125"/>
  <c r="J74"/>
  <c r="I74"/>
  <c r="K74" s="1"/>
  <c r="O124"/>
  <c r="O125" l="1"/>
  <c r="F119"/>
  <c r="D119" s="1"/>
  <c r="E119" s="1"/>
  <c r="G119" s="1"/>
  <c r="J75"/>
  <c r="I75"/>
  <c r="H74"/>
  <c r="N126"/>
  <c r="P125"/>
  <c r="H75" l="1"/>
  <c r="F120"/>
  <c r="D120" s="1"/>
  <c r="E120" s="1"/>
  <c r="G120" s="1"/>
  <c r="P126"/>
  <c r="N127"/>
  <c r="O126"/>
  <c r="K75"/>
  <c r="F121" l="1"/>
  <c r="D121" s="1"/>
  <c r="E121" s="1"/>
  <c r="G121" s="1"/>
  <c r="J76"/>
  <c r="I76"/>
  <c r="O127"/>
  <c r="P127"/>
  <c r="N128"/>
  <c r="H76" l="1"/>
  <c r="F122"/>
  <c r="D122" s="1"/>
  <c r="E122" s="1"/>
  <c r="G122" s="1"/>
  <c r="O128"/>
  <c r="P128"/>
  <c r="N129"/>
  <c r="K76"/>
  <c r="O129" l="1"/>
  <c r="F123"/>
  <c r="D123" s="1"/>
  <c r="E123" s="1"/>
  <c r="G123" s="1"/>
  <c r="J77"/>
  <c r="I77"/>
  <c r="N130"/>
  <c r="P129"/>
  <c r="O130" l="1"/>
  <c r="H77"/>
  <c r="F124"/>
  <c r="D124" s="1"/>
  <c r="E124" s="1"/>
  <c r="G124" s="1"/>
  <c r="P130"/>
  <c r="N131"/>
  <c r="K77"/>
  <c r="F125" l="1"/>
  <c r="D125" s="1"/>
  <c r="E125" s="1"/>
  <c r="G125" s="1"/>
  <c r="J78"/>
  <c r="I78"/>
  <c r="P131"/>
  <c r="N132"/>
  <c r="O131"/>
  <c r="O132" l="1"/>
  <c r="H78"/>
  <c r="F126"/>
  <c r="D126" s="1"/>
  <c r="E126" s="1"/>
  <c r="G126" s="1"/>
  <c r="P132"/>
  <c r="N133"/>
  <c r="O133" s="1"/>
  <c r="K78"/>
  <c r="F127" l="1"/>
  <c r="D127" s="1"/>
  <c r="E127" s="1"/>
  <c r="G127" s="1"/>
  <c r="J79"/>
  <c r="I79"/>
  <c r="N134"/>
  <c r="P133"/>
  <c r="F128" l="1"/>
  <c r="D128" s="1"/>
  <c r="E128" s="1"/>
  <c r="G128" s="1"/>
  <c r="H79"/>
  <c r="K79"/>
  <c r="P134"/>
  <c r="N135"/>
  <c r="O134"/>
  <c r="O135" l="1"/>
  <c r="F129"/>
  <c r="D129" s="1"/>
  <c r="E129" s="1"/>
  <c r="G129" s="1"/>
  <c r="P135"/>
  <c r="N136"/>
  <c r="J80"/>
  <c r="I80"/>
  <c r="K80" s="1"/>
  <c r="O136" l="1"/>
  <c r="F130"/>
  <c r="D130" s="1"/>
  <c r="E130" s="1"/>
  <c r="G130" s="1"/>
  <c r="J81"/>
  <c r="I81"/>
  <c r="H80"/>
  <c r="P136"/>
  <c r="N137"/>
  <c r="O137" l="1"/>
  <c r="H81"/>
  <c r="F131"/>
  <c r="D131" s="1"/>
  <c r="E131" s="1"/>
  <c r="G131" s="1"/>
  <c r="K81"/>
  <c r="N138"/>
  <c r="P137"/>
  <c r="F132" l="1"/>
  <c r="D132" s="1"/>
  <c r="E132" s="1"/>
  <c r="G132" s="1"/>
  <c r="P138"/>
  <c r="N139"/>
  <c r="J82"/>
  <c r="I82"/>
  <c r="O138"/>
  <c r="H82" l="1"/>
  <c r="F133"/>
  <c r="D133" s="1"/>
  <c r="E133" s="1"/>
  <c r="G133" s="1"/>
  <c r="K82"/>
  <c r="O139"/>
  <c r="P139"/>
  <c r="N140"/>
  <c r="F134" l="1"/>
  <c r="D134" s="1"/>
  <c r="E134" s="1"/>
  <c r="G134" s="1"/>
  <c r="P140"/>
  <c r="N141"/>
  <c r="O140"/>
  <c r="J83"/>
  <c r="I83"/>
  <c r="K83" s="1"/>
  <c r="F135" l="1"/>
  <c r="D135" s="1"/>
  <c r="E135" s="1"/>
  <c r="G135" s="1"/>
  <c r="J84"/>
  <c r="I84"/>
  <c r="K84" s="1"/>
  <c r="O141"/>
  <c r="H83"/>
  <c r="N142"/>
  <c r="P141"/>
  <c r="O142" l="1"/>
  <c r="F136"/>
  <c r="D136" s="1"/>
  <c r="E136" s="1"/>
  <c r="G136" s="1"/>
  <c r="J85"/>
  <c r="I85"/>
  <c r="P142"/>
  <c r="N143"/>
  <c r="O143" s="1"/>
  <c r="H84"/>
  <c r="H85" l="1"/>
  <c r="F137"/>
  <c r="D137" s="1"/>
  <c r="E137" s="1"/>
  <c r="G137" s="1"/>
  <c r="P143"/>
  <c r="N144"/>
  <c r="K85"/>
  <c r="F138" l="1"/>
  <c r="D138" s="1"/>
  <c r="E138" s="1"/>
  <c r="G138" s="1"/>
  <c r="J86"/>
  <c r="I86"/>
  <c r="P144"/>
  <c r="N145"/>
  <c r="O144"/>
  <c r="O145" l="1"/>
  <c r="H86"/>
  <c r="K86"/>
  <c r="I87" s="1"/>
  <c r="F139"/>
  <c r="D139" s="1"/>
  <c r="E139" s="1"/>
  <c r="G139" s="1"/>
  <c r="N146"/>
  <c r="O146" s="1"/>
  <c r="P145"/>
  <c r="J87" l="1"/>
  <c r="H87" s="1"/>
  <c r="F140"/>
  <c r="D140" s="1"/>
  <c r="E140" s="1"/>
  <c r="G140" s="1"/>
  <c r="P146"/>
  <c r="N147"/>
  <c r="K87"/>
  <c r="F141" l="1"/>
  <c r="D141" s="1"/>
  <c r="E141" s="1"/>
  <c r="G141" s="1"/>
  <c r="P147"/>
  <c r="N148"/>
  <c r="J88"/>
  <c r="I88"/>
  <c r="O147"/>
  <c r="O148" s="1"/>
  <c r="H88" l="1"/>
  <c r="F142"/>
  <c r="D142" s="1"/>
  <c r="E142" s="1"/>
  <c r="G142" s="1"/>
  <c r="K88"/>
  <c r="P148"/>
  <c r="N149"/>
  <c r="F143" l="1"/>
  <c r="D143" s="1"/>
  <c r="E143" s="1"/>
  <c r="G143" s="1"/>
  <c r="N150"/>
  <c r="P149"/>
  <c r="O149"/>
  <c r="J89"/>
  <c r="I89"/>
  <c r="K89" s="1"/>
  <c r="O150" l="1"/>
  <c r="H89"/>
  <c r="F144"/>
  <c r="D144" s="1"/>
  <c r="E144" s="1"/>
  <c r="G144" s="1"/>
  <c r="J90"/>
  <c r="I90"/>
  <c r="K90" s="1"/>
  <c r="P150"/>
  <c r="N151"/>
  <c r="O151" s="1"/>
  <c r="J91" l="1"/>
  <c r="I91"/>
  <c r="F145"/>
  <c r="D145" s="1"/>
  <c r="E145" s="1"/>
  <c r="G145" s="1"/>
  <c r="P151"/>
  <c r="N152"/>
  <c r="H90"/>
  <c r="O152"/>
  <c r="H91" l="1"/>
  <c r="F146"/>
  <c r="D146" s="1"/>
  <c r="E146" s="1"/>
  <c r="G146" s="1"/>
  <c r="P152"/>
  <c r="N153"/>
  <c r="O153" s="1"/>
  <c r="K91"/>
  <c r="F147" l="1"/>
  <c r="D147" s="1"/>
  <c r="E147" s="1"/>
  <c r="G147" s="1"/>
  <c r="J92"/>
  <c r="I92"/>
  <c r="N154"/>
  <c r="O154" s="1"/>
  <c r="P153"/>
  <c r="H92" l="1"/>
  <c r="F148"/>
  <c r="D148" s="1"/>
  <c r="E148" s="1"/>
  <c r="G148" s="1"/>
  <c r="K92"/>
  <c r="P154"/>
  <c r="N155"/>
  <c r="O155" s="1"/>
  <c r="F149" l="1"/>
  <c r="D149" s="1"/>
  <c r="E149" s="1"/>
  <c r="G149" s="1"/>
  <c r="P155"/>
  <c r="N156"/>
  <c r="J93"/>
  <c r="I93"/>
  <c r="K93" s="1"/>
  <c r="H93" l="1"/>
  <c r="F150"/>
  <c r="D150" s="1"/>
  <c r="E150" s="1"/>
  <c r="G150" s="1"/>
  <c r="J94"/>
  <c r="I94"/>
  <c r="K94" s="1"/>
  <c r="P156"/>
  <c r="N157"/>
  <c r="O156"/>
  <c r="H94" l="1"/>
  <c r="F151"/>
  <c r="D151" s="1"/>
  <c r="E151" s="1"/>
  <c r="G151" s="1"/>
  <c r="J95"/>
  <c r="I95"/>
  <c r="N158"/>
  <c r="P157"/>
  <c r="O157"/>
  <c r="H95" l="1"/>
  <c r="F152"/>
  <c r="D152" s="1"/>
  <c r="E152" s="1"/>
  <c r="G152" s="1"/>
  <c r="P158"/>
  <c r="N159"/>
  <c r="O158"/>
  <c r="K95"/>
  <c r="F153" l="1"/>
  <c r="D153" s="1"/>
  <c r="E153" s="1"/>
  <c r="G153" s="1"/>
  <c r="J96"/>
  <c r="I96"/>
  <c r="O159"/>
  <c r="P159"/>
  <c r="N160"/>
  <c r="H96" l="1"/>
  <c r="F154"/>
  <c r="D154" s="1"/>
  <c r="E154" s="1"/>
  <c r="G154" s="1"/>
  <c r="P160"/>
  <c r="N161"/>
  <c r="O160"/>
  <c r="K96"/>
  <c r="O161" l="1"/>
  <c r="F155"/>
  <c r="D155" s="1"/>
  <c r="E155" s="1"/>
  <c r="G155" s="1"/>
  <c r="J97"/>
  <c r="I97"/>
  <c r="N162"/>
  <c r="O162" s="1"/>
  <c r="P161"/>
  <c r="H97" l="1"/>
  <c r="F156"/>
  <c r="D156" s="1"/>
  <c r="E156" s="1"/>
  <c r="G156" s="1"/>
  <c r="P162"/>
  <c r="N163"/>
  <c r="O163" s="1"/>
  <c r="K97"/>
  <c r="F157" l="1"/>
  <c r="D157" s="1"/>
  <c r="E157" s="1"/>
  <c r="G157" s="1"/>
  <c r="J98"/>
  <c r="I98"/>
  <c r="P163"/>
  <c r="N164"/>
  <c r="H98" l="1"/>
  <c r="F158"/>
  <c r="D158" s="1"/>
  <c r="E158" s="1"/>
  <c r="G158" s="1"/>
  <c r="P164"/>
  <c r="N165"/>
  <c r="K98"/>
  <c r="O164"/>
  <c r="O165" l="1"/>
  <c r="F159"/>
  <c r="D159" s="1"/>
  <c r="E159" s="1"/>
  <c r="G159" s="1"/>
  <c r="J99"/>
  <c r="I99"/>
  <c r="N166"/>
  <c r="P165"/>
  <c r="H99" l="1"/>
  <c r="F160"/>
  <c r="D160" s="1"/>
  <c r="E160" s="1"/>
  <c r="G160" s="1"/>
  <c r="P166"/>
  <c r="N167"/>
  <c r="O166"/>
  <c r="K99"/>
  <c r="F161" l="1"/>
  <c r="D161" s="1"/>
  <c r="E161" s="1"/>
  <c r="G161" s="1"/>
  <c r="O167"/>
  <c r="J100"/>
  <c r="I100"/>
  <c r="P167"/>
  <c r="N168"/>
  <c r="H100" l="1"/>
  <c r="K100"/>
  <c r="J101" s="1"/>
  <c r="F162"/>
  <c r="D162" s="1"/>
  <c r="E162" s="1"/>
  <c r="G162" s="1"/>
  <c r="P168"/>
  <c r="N169"/>
  <c r="O168"/>
  <c r="O169" l="1"/>
  <c r="I101"/>
  <c r="H101" s="1"/>
  <c r="F163"/>
  <c r="D163" s="1"/>
  <c r="E163" s="1"/>
  <c r="G163" s="1"/>
  <c r="N170"/>
  <c r="P169"/>
  <c r="K101" l="1"/>
  <c r="J102" s="1"/>
  <c r="F164"/>
  <c r="D164" s="1"/>
  <c r="E164" s="1"/>
  <c r="G164" s="1"/>
  <c r="P170"/>
  <c r="N171"/>
  <c r="O170"/>
  <c r="I102" l="1"/>
  <c r="H102" s="1"/>
  <c r="F165"/>
  <c r="D165" s="1"/>
  <c r="E165" s="1"/>
  <c r="G165" s="1"/>
  <c r="O171"/>
  <c r="P171"/>
  <c r="N172"/>
  <c r="K102" l="1"/>
  <c r="J103" s="1"/>
  <c r="F166"/>
  <c r="D166" s="1"/>
  <c r="E166" s="1"/>
  <c r="G166" s="1"/>
  <c r="P172"/>
  <c r="N173"/>
  <c r="O172"/>
  <c r="I103" l="1"/>
  <c r="K103" s="1"/>
  <c r="I104" s="1"/>
  <c r="O173"/>
  <c r="F167"/>
  <c r="D167" s="1"/>
  <c r="E167" s="1"/>
  <c r="G167" s="1"/>
  <c r="N174"/>
  <c r="P173"/>
  <c r="O174" l="1"/>
  <c r="J104"/>
  <c r="H104" s="1"/>
  <c r="H103"/>
  <c r="F168"/>
  <c r="D168" s="1"/>
  <c r="E168" s="1"/>
  <c r="G168" s="1"/>
  <c r="K104"/>
  <c r="P174"/>
  <c r="N175"/>
  <c r="F169" l="1"/>
  <c r="D169" s="1"/>
  <c r="E169" s="1"/>
  <c r="G169" s="1"/>
  <c r="P175"/>
  <c r="N176"/>
  <c r="O175"/>
  <c r="J105"/>
  <c r="I105"/>
  <c r="K105" s="1"/>
  <c r="O176" l="1"/>
  <c r="H105"/>
  <c r="F170"/>
  <c r="D170" s="1"/>
  <c r="E170" s="1"/>
  <c r="G170" s="1"/>
  <c r="J106"/>
  <c r="I106"/>
  <c r="P176"/>
  <c r="N177"/>
  <c r="O177" s="1"/>
  <c r="H106" l="1"/>
  <c r="F171"/>
  <c r="D171" s="1"/>
  <c r="E171" s="1"/>
  <c r="G171" s="1"/>
  <c r="N178"/>
  <c r="P177"/>
  <c r="K106"/>
  <c r="F172" l="1"/>
  <c r="D172" s="1"/>
  <c r="E172" s="1"/>
  <c r="G172" s="1"/>
  <c r="J107"/>
  <c r="I107"/>
  <c r="K107" s="1"/>
  <c r="P178"/>
  <c r="N179"/>
  <c r="O178"/>
  <c r="O179" l="1"/>
  <c r="J108"/>
  <c r="I108"/>
  <c r="F173"/>
  <c r="D173" s="1"/>
  <c r="E173" s="1"/>
  <c r="G173" s="1"/>
  <c r="H107"/>
  <c r="P179"/>
  <c r="N180"/>
  <c r="O180" s="1"/>
  <c r="H108" l="1"/>
  <c r="F174"/>
  <c r="D174" s="1"/>
  <c r="E174" s="1"/>
  <c r="G174" s="1"/>
  <c r="P180"/>
  <c r="N181"/>
  <c r="O181" s="1"/>
  <c r="K108"/>
  <c r="F175" l="1"/>
  <c r="D175" s="1"/>
  <c r="E175" s="1"/>
  <c r="G175" s="1"/>
  <c r="J109"/>
  <c r="I109"/>
  <c r="N182"/>
  <c r="P181"/>
  <c r="H109" l="1"/>
  <c r="F176"/>
  <c r="D176" s="1"/>
  <c r="E176" s="1"/>
  <c r="G176" s="1"/>
  <c r="P182"/>
  <c r="N183"/>
  <c r="K109"/>
  <c r="O182"/>
  <c r="O183" l="1"/>
  <c r="F177"/>
  <c r="D177" s="1"/>
  <c r="E177" s="1"/>
  <c r="G177" s="1"/>
  <c r="J110"/>
  <c r="I110"/>
  <c r="P183"/>
  <c r="N184"/>
  <c r="H110" l="1"/>
  <c r="F178"/>
  <c r="D178" s="1"/>
  <c r="E178" s="1"/>
  <c r="G178" s="1"/>
  <c r="P184"/>
  <c r="N185"/>
  <c r="K110"/>
  <c r="O184"/>
  <c r="O185" l="1"/>
  <c r="F179"/>
  <c r="D179" s="1"/>
  <c r="E179" s="1"/>
  <c r="G179" s="1"/>
  <c r="J111"/>
  <c r="I111"/>
  <c r="N186"/>
  <c r="P185"/>
  <c r="H111" l="1"/>
  <c r="F180"/>
  <c r="D180" s="1"/>
  <c r="E180" s="1"/>
  <c r="G180" s="1"/>
  <c r="K111"/>
  <c r="P186"/>
  <c r="N187"/>
  <c r="O186"/>
  <c r="F181" l="1"/>
  <c r="D181" s="1"/>
  <c r="E181" s="1"/>
  <c r="G181" s="1"/>
  <c r="O187"/>
  <c r="P187"/>
  <c r="N188"/>
  <c r="J112"/>
  <c r="I112"/>
  <c r="F182" l="1"/>
  <c r="D182" s="1"/>
  <c r="E182" s="1"/>
  <c r="G182" s="1"/>
  <c r="O188"/>
  <c r="P188"/>
  <c r="N189"/>
  <c r="H112"/>
  <c r="K112"/>
  <c r="F183" l="1"/>
  <c r="D183" s="1"/>
  <c r="E183" s="1"/>
  <c r="G183" s="1"/>
  <c r="N190"/>
  <c r="P189"/>
  <c r="O189"/>
  <c r="O190" s="1"/>
  <c r="J113"/>
  <c r="I113"/>
  <c r="K113" s="1"/>
  <c r="F184" l="1"/>
  <c r="D184" s="1"/>
  <c r="E184" s="1"/>
  <c r="G184" s="1"/>
  <c r="P190"/>
  <c r="N191"/>
  <c r="O191" s="1"/>
  <c r="J114"/>
  <c r="I114"/>
  <c r="H113"/>
  <c r="H114" l="1"/>
  <c r="F185"/>
  <c r="D185" s="1"/>
  <c r="E185" s="1"/>
  <c r="G185" s="1"/>
  <c r="K114"/>
  <c r="P191"/>
  <c r="N192"/>
  <c r="F186" l="1"/>
  <c r="D186" s="1"/>
  <c r="E186" s="1"/>
  <c r="G186" s="1"/>
  <c r="P192"/>
  <c r="N193"/>
  <c r="J115"/>
  <c r="I115"/>
  <c r="K115" s="1"/>
  <c r="O192"/>
  <c r="O193" l="1"/>
  <c r="F187"/>
  <c r="D187" s="1"/>
  <c r="E187" s="1"/>
  <c r="G187" s="1"/>
  <c r="J116"/>
  <c r="I116"/>
  <c r="H115"/>
  <c r="N194"/>
  <c r="O194" s="1"/>
  <c r="P193"/>
  <c r="H116" l="1"/>
  <c r="F188"/>
  <c r="D188" s="1"/>
  <c r="E188" s="1"/>
  <c r="G188" s="1"/>
  <c r="P194"/>
  <c r="N195"/>
  <c r="O195" s="1"/>
  <c r="K116"/>
  <c r="F189" l="1"/>
  <c r="D189" s="1"/>
  <c r="E189" s="1"/>
  <c r="G189" s="1"/>
  <c r="J117"/>
  <c r="I117"/>
  <c r="P195"/>
  <c r="N196"/>
  <c r="H117" l="1"/>
  <c r="F190"/>
  <c r="D190" s="1"/>
  <c r="E190" s="1"/>
  <c r="G190" s="1"/>
  <c r="P196"/>
  <c r="N197"/>
  <c r="K117"/>
  <c r="O196"/>
  <c r="O197" l="1"/>
  <c r="F191"/>
  <c r="D191" s="1"/>
  <c r="E191" s="1"/>
  <c r="G191" s="1"/>
  <c r="J118"/>
  <c r="I118"/>
  <c r="N198"/>
  <c r="P197"/>
  <c r="H118" l="1"/>
  <c r="F192"/>
  <c r="D192" s="1"/>
  <c r="E192" s="1"/>
  <c r="G192" s="1"/>
  <c r="K118"/>
  <c r="P198"/>
  <c r="N199"/>
  <c r="O198"/>
  <c r="F193" l="1"/>
  <c r="D193" s="1"/>
  <c r="E193" s="1"/>
  <c r="G193" s="1"/>
  <c r="O199"/>
  <c r="P199"/>
  <c r="N200"/>
  <c r="J119"/>
  <c r="I119"/>
  <c r="H119" l="1"/>
  <c r="F194"/>
  <c r="D194" s="1"/>
  <c r="E194" s="1"/>
  <c r="G194" s="1"/>
  <c r="K119"/>
  <c r="O200"/>
  <c r="P200"/>
  <c r="N201"/>
  <c r="F195" l="1"/>
  <c r="D195" s="1"/>
  <c r="E195" s="1"/>
  <c r="G195" s="1"/>
  <c r="J120"/>
  <c r="I120"/>
  <c r="N202"/>
  <c r="P201"/>
  <c r="O201"/>
  <c r="F196" l="1"/>
  <c r="D196" s="1"/>
  <c r="E196" s="1"/>
  <c r="G196" s="1"/>
  <c r="P202"/>
  <c r="N203"/>
  <c r="O202"/>
  <c r="H120"/>
  <c r="K120"/>
  <c r="O203" l="1"/>
  <c r="F197"/>
  <c r="D197" s="1"/>
  <c r="E197" s="1"/>
  <c r="G197" s="1"/>
  <c r="J121"/>
  <c r="I121"/>
  <c r="P203"/>
  <c r="N204"/>
  <c r="O204" s="1"/>
  <c r="H121" l="1"/>
  <c r="K121"/>
  <c r="I122" s="1"/>
  <c r="K122" s="1"/>
  <c r="F198"/>
  <c r="D198" s="1"/>
  <c r="E198" s="1"/>
  <c r="G198" s="1"/>
  <c r="P204"/>
  <c r="N205"/>
  <c r="O205" s="1"/>
  <c r="J122" l="1"/>
  <c r="H122" s="1"/>
  <c r="F199"/>
  <c r="D199" s="1"/>
  <c r="E199" s="1"/>
  <c r="G199" s="1"/>
  <c r="J123"/>
  <c r="I123"/>
  <c r="N206"/>
  <c r="O206" s="1"/>
  <c r="P205"/>
  <c r="H123" l="1"/>
  <c r="F200"/>
  <c r="D200" s="1"/>
  <c r="E200" s="1"/>
  <c r="G200" s="1"/>
  <c r="P206"/>
  <c r="N207"/>
  <c r="K123"/>
  <c r="F201" l="1"/>
  <c r="D201" s="1"/>
  <c r="E201" s="1"/>
  <c r="G201" s="1"/>
  <c r="P207"/>
  <c r="N208"/>
  <c r="O207"/>
  <c r="J124"/>
  <c r="I124"/>
  <c r="O208" l="1"/>
  <c r="F202"/>
  <c r="D202" s="1"/>
  <c r="E202" s="1"/>
  <c r="G202" s="1"/>
  <c r="H124"/>
  <c r="K124"/>
  <c r="P208"/>
  <c r="N209"/>
  <c r="F203" l="1"/>
  <c r="D203" s="1"/>
  <c r="E203" s="1"/>
  <c r="G203" s="1"/>
  <c r="J125"/>
  <c r="I125"/>
  <c r="N210"/>
  <c r="P209"/>
  <c r="O209"/>
  <c r="H125" l="1"/>
  <c r="F204"/>
  <c r="D204" s="1"/>
  <c r="E204" s="1"/>
  <c r="G204" s="1"/>
  <c r="P210"/>
  <c r="N211"/>
  <c r="O210"/>
  <c r="K125"/>
  <c r="F205" l="1"/>
  <c r="D205" s="1"/>
  <c r="E205" s="1"/>
  <c r="G205" s="1"/>
  <c r="J126"/>
  <c r="I126"/>
  <c r="O211"/>
  <c r="P211"/>
  <c r="N212"/>
  <c r="O212" l="1"/>
  <c r="H126"/>
  <c r="F206"/>
  <c r="D206" s="1"/>
  <c r="E206" s="1"/>
  <c r="G206" s="1"/>
  <c r="P212"/>
  <c r="N213"/>
  <c r="O213" s="1"/>
  <c r="K126"/>
  <c r="F207" l="1"/>
  <c r="D207" s="1"/>
  <c r="E207" s="1"/>
  <c r="G207" s="1"/>
  <c r="J127"/>
  <c r="I127"/>
  <c r="N214"/>
  <c r="P213"/>
  <c r="H127" l="1"/>
  <c r="F208"/>
  <c r="D208" s="1"/>
  <c r="E208" s="1"/>
  <c r="G208" s="1"/>
  <c r="P214"/>
  <c r="N215"/>
  <c r="O214"/>
  <c r="K127"/>
  <c r="F209" l="1"/>
  <c r="D209" s="1"/>
  <c r="E209" s="1"/>
  <c r="G209" s="1"/>
  <c r="O215"/>
  <c r="J128"/>
  <c r="I128"/>
  <c r="P215"/>
  <c r="N216"/>
  <c r="H128" l="1"/>
  <c r="F210"/>
  <c r="D210" s="1"/>
  <c r="E210" s="1"/>
  <c r="G210" s="1"/>
  <c r="K128"/>
  <c r="P216"/>
  <c r="N217"/>
  <c r="O216"/>
  <c r="O217" l="1"/>
  <c r="F211"/>
  <c r="D211" s="1"/>
  <c r="E211" s="1"/>
  <c r="G211" s="1"/>
  <c r="J129"/>
  <c r="I129"/>
  <c r="N218"/>
  <c r="P217"/>
  <c r="H129" l="1"/>
  <c r="F212"/>
  <c r="D212" s="1"/>
  <c r="E212" s="1"/>
  <c r="G212" s="1"/>
  <c r="P218"/>
  <c r="N219"/>
  <c r="O218"/>
  <c r="K129"/>
  <c r="F213" l="1"/>
  <c r="D213" s="1"/>
  <c r="E213" s="1"/>
  <c r="G213" s="1"/>
  <c r="J130"/>
  <c r="I130"/>
  <c r="O219"/>
  <c r="P219"/>
  <c r="N220"/>
  <c r="H130" l="1"/>
  <c r="O220"/>
  <c r="F214"/>
  <c r="D214" s="1"/>
  <c r="E214" s="1"/>
  <c r="G214" s="1"/>
  <c r="P220"/>
  <c r="N221"/>
  <c r="K130"/>
  <c r="O221" l="1"/>
  <c r="F215"/>
  <c r="D215" s="1"/>
  <c r="E215" s="1"/>
  <c r="G215" s="1"/>
  <c r="J131"/>
  <c r="I131"/>
  <c r="N222"/>
  <c r="P221"/>
  <c r="H131" l="1"/>
  <c r="F216"/>
  <c r="D216" s="1"/>
  <c r="E216" s="1"/>
  <c r="G216" s="1"/>
  <c r="P222"/>
  <c r="N223"/>
  <c r="K131"/>
  <c r="O222"/>
  <c r="O223" l="1"/>
  <c r="F217"/>
  <c r="D217" s="1"/>
  <c r="E217" s="1"/>
  <c r="G217" s="1"/>
  <c r="J132"/>
  <c r="I132"/>
  <c r="P223"/>
  <c r="N224"/>
  <c r="O224" s="1"/>
  <c r="H132" l="1"/>
  <c r="F218"/>
  <c r="D218" s="1"/>
  <c r="E218" s="1"/>
  <c r="G218" s="1"/>
  <c r="P224"/>
  <c r="N225"/>
  <c r="K132"/>
  <c r="F219" l="1"/>
  <c r="D219" s="1"/>
  <c r="E219" s="1"/>
  <c r="G219" s="1"/>
  <c r="J133"/>
  <c r="I133"/>
  <c r="N226"/>
  <c r="P225"/>
  <c r="O225"/>
  <c r="H133" l="1"/>
  <c r="K133"/>
  <c r="I134" s="1"/>
  <c r="F220"/>
  <c r="D220" s="1"/>
  <c r="E220" s="1"/>
  <c r="G220" s="1"/>
  <c r="P226"/>
  <c r="N227"/>
  <c r="O226"/>
  <c r="J134" l="1"/>
  <c r="H134" s="1"/>
  <c r="F221"/>
  <c r="D221" s="1"/>
  <c r="E221" s="1"/>
  <c r="G221" s="1"/>
  <c r="P227"/>
  <c r="N228"/>
  <c r="O227"/>
  <c r="K134"/>
  <c r="F222" l="1"/>
  <c r="D222" s="1"/>
  <c r="E222" s="1"/>
  <c r="G222" s="1"/>
  <c r="O228"/>
  <c r="P228"/>
  <c r="N229"/>
  <c r="J135"/>
  <c r="I135"/>
  <c r="O229" l="1"/>
  <c r="H135"/>
  <c r="K135"/>
  <c r="J136" s="1"/>
  <c r="F223"/>
  <c r="D223" s="1"/>
  <c r="E223" s="1"/>
  <c r="G223" s="1"/>
  <c r="N230"/>
  <c r="P229"/>
  <c r="I136" l="1"/>
  <c r="H136" s="1"/>
  <c r="F224"/>
  <c r="D224" s="1"/>
  <c r="E224" s="1"/>
  <c r="G224" s="1"/>
  <c r="P230"/>
  <c r="N231"/>
  <c r="O230"/>
  <c r="K136" l="1"/>
  <c r="I137" s="1"/>
  <c r="F225"/>
  <c r="D225" s="1"/>
  <c r="E225" s="1"/>
  <c r="G225" s="1"/>
  <c r="O231"/>
  <c r="P231"/>
  <c r="N232"/>
  <c r="J137" l="1"/>
  <c r="H137" s="1"/>
  <c r="F226"/>
  <c r="D226" s="1"/>
  <c r="E226" s="1"/>
  <c r="G226" s="1"/>
  <c r="O232"/>
  <c r="P232"/>
  <c r="N233"/>
  <c r="K137"/>
  <c r="O233" l="1"/>
  <c r="F227"/>
  <c r="D227" s="1"/>
  <c r="E227" s="1"/>
  <c r="G227" s="1"/>
  <c r="J138"/>
  <c r="I138"/>
  <c r="N234"/>
  <c r="P233"/>
  <c r="H138" l="1"/>
  <c r="F228"/>
  <c r="D228" s="1"/>
  <c r="E228" s="1"/>
  <c r="G228" s="1"/>
  <c r="P234"/>
  <c r="N235"/>
  <c r="O234"/>
  <c r="K138"/>
  <c r="F229" l="1"/>
  <c r="D229" s="1"/>
  <c r="E229" s="1"/>
  <c r="G229" s="1"/>
  <c r="J139"/>
  <c r="I139"/>
  <c r="O235"/>
  <c r="P235"/>
  <c r="N236"/>
  <c r="H139" l="1"/>
  <c r="F230"/>
  <c r="D230" s="1"/>
  <c r="E230" s="1"/>
  <c r="G230" s="1"/>
  <c r="O236"/>
  <c r="P236"/>
  <c r="N237"/>
  <c r="K139"/>
  <c r="F231" l="1"/>
  <c r="D231" s="1"/>
  <c r="E231" s="1"/>
  <c r="G231" s="1"/>
  <c r="J140"/>
  <c r="I140"/>
  <c r="O237"/>
  <c r="N238"/>
  <c r="P237"/>
  <c r="H140" l="1"/>
  <c r="O238"/>
  <c r="F232"/>
  <c r="D232" s="1"/>
  <c r="E232" s="1"/>
  <c r="G232" s="1"/>
  <c r="P238"/>
  <c r="N239"/>
  <c r="K140"/>
  <c r="O239" l="1"/>
  <c r="F233"/>
  <c r="D233" s="1"/>
  <c r="E233" s="1"/>
  <c r="G233" s="1"/>
  <c r="J141"/>
  <c r="I141"/>
  <c r="P239"/>
  <c r="N240"/>
  <c r="O240" s="1"/>
  <c r="H141" l="1"/>
  <c r="F234"/>
  <c r="D234" s="1"/>
  <c r="E234" s="1"/>
  <c r="G234" s="1"/>
  <c r="P240"/>
  <c r="N241"/>
  <c r="O241" s="1"/>
  <c r="K141"/>
  <c r="F235" l="1"/>
  <c r="D235" s="1"/>
  <c r="E235" s="1"/>
  <c r="G235" s="1"/>
  <c r="J142"/>
  <c r="I142"/>
  <c r="N242"/>
  <c r="P241"/>
  <c r="H142" l="1"/>
  <c r="F236"/>
  <c r="D236" s="1"/>
  <c r="E236" s="1"/>
  <c r="G236" s="1"/>
  <c r="P242"/>
  <c r="N243"/>
  <c r="K142"/>
  <c r="O242"/>
  <c r="O243" l="1"/>
  <c r="F237"/>
  <c r="D237" s="1"/>
  <c r="E237" s="1"/>
  <c r="G237" s="1"/>
  <c r="J143"/>
  <c r="I143"/>
  <c r="P243"/>
  <c r="N244"/>
  <c r="H143" l="1"/>
  <c r="F238"/>
  <c r="D238" s="1"/>
  <c r="E238" s="1"/>
  <c r="G238" s="1"/>
  <c r="N245"/>
  <c r="P244"/>
  <c r="K143"/>
  <c r="O244"/>
  <c r="O245" l="1"/>
  <c r="F239"/>
  <c r="D239" s="1"/>
  <c r="E239" s="1"/>
  <c r="G239" s="1"/>
  <c r="P245"/>
  <c r="N246"/>
  <c r="O246" s="1"/>
  <c r="J144"/>
  <c r="I144"/>
  <c r="K144" s="1"/>
  <c r="F240" l="1"/>
  <c r="D240" s="1"/>
  <c r="E240" s="1"/>
  <c r="G240" s="1"/>
  <c r="J145"/>
  <c r="I145"/>
  <c r="N247"/>
  <c r="P246"/>
  <c r="H144"/>
  <c r="H145" l="1"/>
  <c r="F241"/>
  <c r="D241" s="1"/>
  <c r="E241" s="1"/>
  <c r="G241" s="1"/>
  <c r="P247"/>
  <c r="N248"/>
  <c r="K145"/>
  <c r="O247"/>
  <c r="O248" l="1"/>
  <c r="F242"/>
  <c r="D242" s="1"/>
  <c r="E242" s="1"/>
  <c r="G242" s="1"/>
  <c r="J146"/>
  <c r="I146"/>
  <c r="K146" s="1"/>
  <c r="N249"/>
  <c r="P248"/>
  <c r="F243" l="1"/>
  <c r="D243" s="1"/>
  <c r="E243" s="1"/>
  <c r="G243" s="1"/>
  <c r="H146"/>
  <c r="J147"/>
  <c r="I147"/>
  <c r="P249"/>
  <c r="N250"/>
  <c r="O249"/>
  <c r="O250" l="1"/>
  <c r="H147"/>
  <c r="F244"/>
  <c r="D244" s="1"/>
  <c r="E244" s="1"/>
  <c r="G244" s="1"/>
  <c r="N251"/>
  <c r="O251" s="1"/>
  <c r="P250"/>
  <c r="K147"/>
  <c r="F245" l="1"/>
  <c r="D245" s="1"/>
  <c r="E245" s="1"/>
  <c r="G245" s="1"/>
  <c r="J148"/>
  <c r="I148"/>
  <c r="P251"/>
  <c r="N252"/>
  <c r="H148" l="1"/>
  <c r="F246"/>
  <c r="D246" s="1"/>
  <c r="E246" s="1"/>
  <c r="G246" s="1"/>
  <c r="N253"/>
  <c r="P252"/>
  <c r="K148"/>
  <c r="O252"/>
  <c r="O253" l="1"/>
  <c r="F247"/>
  <c r="D247" s="1"/>
  <c r="E247" s="1"/>
  <c r="G247" s="1"/>
  <c r="P253"/>
  <c r="N254"/>
  <c r="J149"/>
  <c r="I149"/>
  <c r="O254" l="1"/>
  <c r="H149"/>
  <c r="F248"/>
  <c r="D248" s="1"/>
  <c r="E248" s="1"/>
  <c r="G248" s="1"/>
  <c r="K149"/>
  <c r="N255"/>
  <c r="P254"/>
  <c r="F249" l="1"/>
  <c r="D249" s="1"/>
  <c r="E249" s="1"/>
  <c r="G249" s="1"/>
  <c r="P255"/>
  <c r="N256"/>
  <c r="J150"/>
  <c r="I150"/>
  <c r="O255"/>
  <c r="O256" l="1"/>
  <c r="H150"/>
  <c r="F250"/>
  <c r="D250" s="1"/>
  <c r="E250" s="1"/>
  <c r="G250" s="1"/>
  <c r="K150"/>
  <c r="N257"/>
  <c r="P256"/>
  <c r="F251" l="1"/>
  <c r="D251" s="1"/>
  <c r="E251" s="1"/>
  <c r="G251" s="1"/>
  <c r="J151"/>
  <c r="I151"/>
  <c r="K151" s="1"/>
  <c r="P257"/>
  <c r="N258"/>
  <c r="O257"/>
  <c r="F252" l="1"/>
  <c r="D252" s="1"/>
  <c r="E252" s="1"/>
  <c r="G252" s="1"/>
  <c r="J152"/>
  <c r="I152"/>
  <c r="P258"/>
  <c r="N259"/>
  <c r="O258"/>
  <c r="H151"/>
  <c r="H152" l="1"/>
  <c r="O259"/>
  <c r="F253"/>
  <c r="D253" s="1"/>
  <c r="E253" s="1"/>
  <c r="G253" s="1"/>
  <c r="K152"/>
  <c r="P259"/>
  <c r="N260"/>
  <c r="F254" l="1"/>
  <c r="D254" s="1"/>
  <c r="E254" s="1"/>
  <c r="G254" s="1"/>
  <c r="N261"/>
  <c r="P260"/>
  <c r="J153"/>
  <c r="I153"/>
  <c r="K153" s="1"/>
  <c r="O260"/>
  <c r="O261" s="1"/>
  <c r="F255" l="1"/>
  <c r="D255" s="1"/>
  <c r="E255" s="1"/>
  <c r="G255" s="1"/>
  <c r="P261"/>
  <c r="N262"/>
  <c r="O262" s="1"/>
  <c r="J154"/>
  <c r="I154"/>
  <c r="H153"/>
  <c r="H154" l="1"/>
  <c r="F256"/>
  <c r="D256" s="1"/>
  <c r="E256" s="1"/>
  <c r="G256" s="1"/>
  <c r="K154"/>
  <c r="P262"/>
  <c r="N263"/>
  <c r="F257" l="1"/>
  <c r="D257" s="1"/>
  <c r="E257" s="1"/>
  <c r="G257" s="1"/>
  <c r="P263"/>
  <c r="N264"/>
  <c r="O263"/>
  <c r="J155"/>
  <c r="I155"/>
  <c r="K155" s="1"/>
  <c r="F258" l="1"/>
  <c r="D258" s="1"/>
  <c r="E258" s="1"/>
  <c r="G258" s="1"/>
  <c r="O264"/>
  <c r="J156"/>
  <c r="I156"/>
  <c r="H155"/>
  <c r="N265"/>
  <c r="P264"/>
  <c r="H156" l="1"/>
  <c r="F259"/>
  <c r="D259" s="1"/>
  <c r="E259" s="1"/>
  <c r="G259" s="1"/>
  <c r="K156"/>
  <c r="P265"/>
  <c r="N266"/>
  <c r="O265"/>
  <c r="F260" l="1"/>
  <c r="D260" s="1"/>
  <c r="E260" s="1"/>
  <c r="G260" s="1"/>
  <c r="O266"/>
  <c r="J157"/>
  <c r="I157"/>
  <c r="P266"/>
  <c r="N267"/>
  <c r="H157" l="1"/>
  <c r="O267"/>
  <c r="F261"/>
  <c r="D261" s="1"/>
  <c r="E261" s="1"/>
  <c r="G261" s="1"/>
  <c r="P267"/>
  <c r="N268"/>
  <c r="K157"/>
  <c r="O268" l="1"/>
  <c r="F262"/>
  <c r="D262" s="1"/>
  <c r="E262" s="1"/>
  <c r="G262" s="1"/>
  <c r="J158"/>
  <c r="I158"/>
  <c r="N269"/>
  <c r="P268"/>
  <c r="H158" l="1"/>
  <c r="F263"/>
  <c r="D263" s="1"/>
  <c r="E263" s="1"/>
  <c r="G263" s="1"/>
  <c r="P269"/>
  <c r="N270"/>
  <c r="K158"/>
  <c r="O269"/>
  <c r="O270" l="1"/>
  <c r="F264"/>
  <c r="D264" s="1"/>
  <c r="E264" s="1"/>
  <c r="G264" s="1"/>
  <c r="J159"/>
  <c r="I159"/>
  <c r="P270"/>
  <c r="N271"/>
  <c r="O271" s="1"/>
  <c r="H159" l="1"/>
  <c r="F265"/>
  <c r="D265" s="1"/>
  <c r="E265" s="1"/>
  <c r="G265" s="1"/>
  <c r="P271"/>
  <c r="N272"/>
  <c r="O272" s="1"/>
  <c r="K159"/>
  <c r="F266" l="1"/>
  <c r="D266" s="1"/>
  <c r="E266" s="1"/>
  <c r="G266" s="1"/>
  <c r="J160"/>
  <c r="I160"/>
  <c r="N273"/>
  <c r="P272"/>
  <c r="H160" l="1"/>
  <c r="F267"/>
  <c r="D267" s="1"/>
  <c r="E267" s="1"/>
  <c r="G267" s="1"/>
  <c r="P273"/>
  <c r="N274"/>
  <c r="O273"/>
  <c r="K160"/>
  <c r="F268" l="1"/>
  <c r="D268" s="1"/>
  <c r="E268" s="1"/>
  <c r="G268" s="1"/>
  <c r="J161"/>
  <c r="I161"/>
  <c r="O274"/>
  <c r="P274"/>
  <c r="N275"/>
  <c r="O275" l="1"/>
  <c r="H161"/>
  <c r="F269"/>
  <c r="D269" s="1"/>
  <c r="E269" s="1"/>
  <c r="G269" s="1"/>
  <c r="P275"/>
  <c r="N276"/>
  <c r="O276" s="1"/>
  <c r="K161"/>
  <c r="F270" l="1"/>
  <c r="D270" s="1"/>
  <c r="E270" s="1"/>
  <c r="G270" s="1"/>
  <c r="J162"/>
  <c r="I162"/>
  <c r="N277"/>
  <c r="P276"/>
  <c r="H162" l="1"/>
  <c r="F271"/>
  <c r="D271" s="1"/>
  <c r="E271" s="1"/>
  <c r="G271" s="1"/>
  <c r="P277"/>
  <c r="N278"/>
  <c r="O277"/>
  <c r="K162"/>
  <c r="F272" l="1"/>
  <c r="D272" s="1"/>
  <c r="E272" s="1"/>
  <c r="G272" s="1"/>
  <c r="J163"/>
  <c r="I163"/>
  <c r="O278"/>
  <c r="P278"/>
  <c r="N279"/>
  <c r="H163" l="1"/>
  <c r="F273"/>
  <c r="D273" s="1"/>
  <c r="E273" s="1"/>
  <c r="G273" s="1"/>
  <c r="O279"/>
  <c r="P279"/>
  <c r="N280"/>
  <c r="K163"/>
  <c r="O280" l="1"/>
  <c r="F274"/>
  <c r="D274" s="1"/>
  <c r="E274" s="1"/>
  <c r="G274" s="1"/>
  <c r="J164"/>
  <c r="I164"/>
  <c r="N281"/>
  <c r="P280"/>
  <c r="H164" l="1"/>
  <c r="F275"/>
  <c r="D275" s="1"/>
  <c r="E275" s="1"/>
  <c r="G275" s="1"/>
  <c r="P281"/>
  <c r="N282"/>
  <c r="O281"/>
  <c r="K164"/>
  <c r="F276" l="1"/>
  <c r="D276" s="1"/>
  <c r="E276" s="1"/>
  <c r="G276" s="1"/>
  <c r="J165"/>
  <c r="I165"/>
  <c r="O282"/>
  <c r="P282"/>
  <c r="N283"/>
  <c r="H165" l="1"/>
  <c r="O283"/>
  <c r="F277"/>
  <c r="D277" s="1"/>
  <c r="E277" s="1"/>
  <c r="G277" s="1"/>
  <c r="P283"/>
  <c r="N284"/>
  <c r="K165"/>
  <c r="O284" l="1"/>
  <c r="F278"/>
  <c r="D278" s="1"/>
  <c r="E278" s="1"/>
  <c r="G278" s="1"/>
  <c r="J166"/>
  <c r="I166"/>
  <c r="N285"/>
  <c r="P284"/>
  <c r="H166" l="1"/>
  <c r="F279"/>
  <c r="D279" s="1"/>
  <c r="E279" s="1"/>
  <c r="G279" s="1"/>
  <c r="P285"/>
  <c r="N286"/>
  <c r="K166"/>
  <c r="O285"/>
  <c r="O286" l="1"/>
  <c r="F280"/>
  <c r="D280" s="1"/>
  <c r="E280" s="1"/>
  <c r="G280" s="1"/>
  <c r="J167"/>
  <c r="I167"/>
  <c r="P286"/>
  <c r="N287"/>
  <c r="H167" l="1"/>
  <c r="F281"/>
  <c r="D281" s="1"/>
  <c r="E281" s="1"/>
  <c r="G281" s="1"/>
  <c r="P287"/>
  <c r="N288"/>
  <c r="K167"/>
  <c r="O287"/>
  <c r="O288" l="1"/>
  <c r="F282"/>
  <c r="D282" s="1"/>
  <c r="E282" s="1"/>
  <c r="G282" s="1"/>
  <c r="J168"/>
  <c r="I168"/>
  <c r="N289"/>
  <c r="P288"/>
  <c r="H168" l="1"/>
  <c r="F283"/>
  <c r="D283" s="1"/>
  <c r="E283" s="1"/>
  <c r="G283" s="1"/>
  <c r="K168"/>
  <c r="P289"/>
  <c r="N290"/>
  <c r="O289"/>
  <c r="O290" s="1"/>
  <c r="F284" l="1"/>
  <c r="D284" s="1"/>
  <c r="E284" s="1"/>
  <c r="G284" s="1"/>
  <c r="J169"/>
  <c r="I169"/>
  <c r="P290"/>
  <c r="N291"/>
  <c r="H169" l="1"/>
  <c r="K169"/>
  <c r="I170" s="1"/>
  <c r="F285"/>
  <c r="D285" s="1"/>
  <c r="E285" s="1"/>
  <c r="G285" s="1"/>
  <c r="P291"/>
  <c r="N292"/>
  <c r="O291"/>
  <c r="J170" l="1"/>
  <c r="H170" s="1"/>
  <c r="O292"/>
  <c r="F286"/>
  <c r="D286" s="1"/>
  <c r="E286" s="1"/>
  <c r="G286" s="1"/>
  <c r="K170"/>
  <c r="N293"/>
  <c r="P292"/>
  <c r="F287" l="1"/>
  <c r="D287" s="1"/>
  <c r="E287" s="1"/>
  <c r="G287" s="1"/>
  <c r="N294"/>
  <c r="P293"/>
  <c r="J171"/>
  <c r="I171"/>
  <c r="O293"/>
  <c r="O294" s="1"/>
  <c r="H171" l="1"/>
  <c r="F288"/>
  <c r="D288" s="1"/>
  <c r="E288" s="1"/>
  <c r="G288" s="1"/>
  <c r="K171"/>
  <c r="P294"/>
  <c r="N295"/>
  <c r="F289" l="1"/>
  <c r="D289" s="1"/>
  <c r="E289" s="1"/>
  <c r="G289" s="1"/>
  <c r="J172"/>
  <c r="I172"/>
  <c r="P295"/>
  <c r="N296"/>
  <c r="O295"/>
  <c r="F290" l="1"/>
  <c r="D290" s="1"/>
  <c r="E290" s="1"/>
  <c r="G290" s="1"/>
  <c r="N297"/>
  <c r="P296"/>
  <c r="O296"/>
  <c r="H172"/>
  <c r="K172"/>
  <c r="O297" l="1"/>
  <c r="F291"/>
  <c r="D291" s="1"/>
  <c r="E291" s="1"/>
  <c r="G291" s="1"/>
  <c r="N298"/>
  <c r="P297"/>
  <c r="J173"/>
  <c r="I173"/>
  <c r="H173" l="1"/>
  <c r="F292"/>
  <c r="D292" s="1"/>
  <c r="E292" s="1"/>
  <c r="G292" s="1"/>
  <c r="P298"/>
  <c r="N299"/>
  <c r="K173"/>
  <c r="O298"/>
  <c r="O299" l="1"/>
  <c r="F293"/>
  <c r="D293" s="1"/>
  <c r="E293" s="1"/>
  <c r="G293" s="1"/>
  <c r="J174"/>
  <c r="I174"/>
  <c r="P299"/>
  <c r="N300"/>
  <c r="O300" l="1"/>
  <c r="H174"/>
  <c r="F294"/>
  <c r="D294" s="1"/>
  <c r="E294" s="1"/>
  <c r="G294" s="1"/>
  <c r="P300"/>
  <c r="N301"/>
  <c r="O301" s="1"/>
  <c r="K174"/>
  <c r="F295" l="1"/>
  <c r="D295" s="1"/>
  <c r="E295" s="1"/>
  <c r="G295" s="1"/>
  <c r="J175"/>
  <c r="I175"/>
  <c r="N302"/>
  <c r="P301"/>
  <c r="F296" l="1"/>
  <c r="D296" s="1"/>
  <c r="E296" s="1"/>
  <c r="G296" s="1"/>
  <c r="H175"/>
  <c r="K175"/>
  <c r="P302"/>
  <c r="N303"/>
  <c r="O302"/>
  <c r="F297" l="1"/>
  <c r="D297" s="1"/>
  <c r="E297" s="1"/>
  <c r="G297" s="1"/>
  <c r="P303"/>
  <c r="N304"/>
  <c r="J176"/>
  <c r="I176"/>
  <c r="O303"/>
  <c r="O304" l="1"/>
  <c r="H176"/>
  <c r="F298"/>
  <c r="D298" s="1"/>
  <c r="E298" s="1"/>
  <c r="G298" s="1"/>
  <c r="K176"/>
  <c r="P304"/>
  <c r="N305"/>
  <c r="F299" l="1"/>
  <c r="D299" s="1"/>
  <c r="E299" s="1"/>
  <c r="G299" s="1"/>
  <c r="N306"/>
  <c r="P305"/>
  <c r="J177"/>
  <c r="I177"/>
  <c r="O305"/>
  <c r="H177" l="1"/>
  <c r="F300"/>
  <c r="D300" s="1"/>
  <c r="E300" s="1"/>
  <c r="G300" s="1"/>
  <c r="P306"/>
  <c r="N307"/>
  <c r="K177"/>
  <c r="O306"/>
  <c r="O307" l="1"/>
  <c r="F301"/>
  <c r="D301" s="1"/>
  <c r="E301" s="1"/>
  <c r="G301" s="1"/>
  <c r="J178"/>
  <c r="I178"/>
  <c r="P307"/>
  <c r="N308"/>
  <c r="O308" s="1"/>
  <c r="H178" l="1"/>
  <c r="F302"/>
  <c r="D302" s="1"/>
  <c r="E302" s="1"/>
  <c r="G302" s="1"/>
  <c r="P308"/>
  <c r="N309"/>
  <c r="O309" s="1"/>
  <c r="K178"/>
  <c r="F303" l="1"/>
  <c r="D303" s="1"/>
  <c r="E303" s="1"/>
  <c r="G303" s="1"/>
  <c r="J179"/>
  <c r="I179"/>
  <c r="N310"/>
  <c r="O310" s="1"/>
  <c r="P309"/>
  <c r="H179" l="1"/>
  <c r="K179"/>
  <c r="J180" s="1"/>
  <c r="F304"/>
  <c r="D304" s="1"/>
  <c r="E304" s="1"/>
  <c r="G304" s="1"/>
  <c r="P310"/>
  <c r="N311"/>
  <c r="O311" s="1"/>
  <c r="I180" l="1"/>
  <c r="K180" s="1"/>
  <c r="J181" s="1"/>
  <c r="F305"/>
  <c r="D305" s="1"/>
  <c r="E305" s="1"/>
  <c r="G305" s="1"/>
  <c r="P311"/>
  <c r="N312"/>
  <c r="O312" s="1"/>
  <c r="H180"/>
  <c r="I181" l="1"/>
  <c r="H181" s="1"/>
  <c r="F306"/>
  <c r="D306" s="1"/>
  <c r="E306" s="1"/>
  <c r="G306" s="1"/>
  <c r="P312"/>
  <c r="N313"/>
  <c r="K181" l="1"/>
  <c r="I182" s="1"/>
  <c r="F307"/>
  <c r="D307" s="1"/>
  <c r="E307" s="1"/>
  <c r="G307" s="1"/>
  <c r="N314"/>
  <c r="P313"/>
  <c r="O313"/>
  <c r="J182" l="1"/>
  <c r="H182" s="1"/>
  <c r="K182"/>
  <c r="J183" s="1"/>
  <c r="F308"/>
  <c r="D308" s="1"/>
  <c r="E308" s="1"/>
  <c r="G308" s="1"/>
  <c r="P314"/>
  <c r="N315"/>
  <c r="O314"/>
  <c r="I183" l="1"/>
  <c r="H183" s="1"/>
  <c r="F309"/>
  <c r="D309" s="1"/>
  <c r="E309" s="1"/>
  <c r="G309" s="1"/>
  <c r="O315"/>
  <c r="P315"/>
  <c r="N316"/>
  <c r="K183" l="1"/>
  <c r="I184" s="1"/>
  <c r="F310"/>
  <c r="D310" s="1"/>
  <c r="E310" s="1"/>
  <c r="G310" s="1"/>
  <c r="P316"/>
  <c r="N317"/>
  <c r="O316"/>
  <c r="J184" l="1"/>
  <c r="H184" s="1"/>
  <c r="F311"/>
  <c r="D311" s="1"/>
  <c r="E311" s="1"/>
  <c r="G311" s="1"/>
  <c r="N318"/>
  <c r="P317"/>
  <c r="O317"/>
  <c r="K184"/>
  <c r="O318" l="1"/>
  <c r="F312"/>
  <c r="D312" s="1"/>
  <c r="E312" s="1"/>
  <c r="G312" s="1"/>
  <c r="P318"/>
  <c r="N319"/>
  <c r="J185"/>
  <c r="I185"/>
  <c r="H185" l="1"/>
  <c r="F313"/>
  <c r="D313" s="1"/>
  <c r="E313" s="1"/>
  <c r="G313" s="1"/>
  <c r="P319"/>
  <c r="N320"/>
  <c r="K185"/>
  <c r="O319"/>
  <c r="O320" l="1"/>
  <c r="F314"/>
  <c r="D314" s="1"/>
  <c r="E314" s="1"/>
  <c r="G314" s="1"/>
  <c r="J186"/>
  <c r="I186"/>
  <c r="P320"/>
  <c r="N321"/>
  <c r="O321" s="1"/>
  <c r="H186" l="1"/>
  <c r="F315"/>
  <c r="D315" s="1"/>
  <c r="E315" s="1"/>
  <c r="G315" s="1"/>
  <c r="N322"/>
  <c r="O322" s="1"/>
  <c r="P321"/>
  <c r="K186"/>
  <c r="F316" l="1"/>
  <c r="D316" s="1"/>
  <c r="E316" s="1"/>
  <c r="G316" s="1"/>
  <c r="J187"/>
  <c r="I187"/>
  <c r="K187" s="1"/>
  <c r="P322"/>
  <c r="N323"/>
  <c r="O323" s="1"/>
  <c r="F317" l="1"/>
  <c r="D317" s="1"/>
  <c r="E317" s="1"/>
  <c r="G317" s="1"/>
  <c r="J188"/>
  <c r="I188"/>
  <c r="P323"/>
  <c r="N324"/>
  <c r="H187"/>
  <c r="H188" l="1"/>
  <c r="F318"/>
  <c r="D318" s="1"/>
  <c r="E318" s="1"/>
  <c r="G318" s="1"/>
  <c r="K188"/>
  <c r="P324"/>
  <c r="N325"/>
  <c r="O324"/>
  <c r="O325" s="1"/>
  <c r="F319" l="1"/>
  <c r="D319" s="1"/>
  <c r="E319" s="1"/>
  <c r="G319" s="1"/>
  <c r="J189"/>
  <c r="I189"/>
  <c r="N326"/>
  <c r="O326" s="1"/>
  <c r="P325"/>
  <c r="H189" l="1"/>
  <c r="F320"/>
  <c r="D320" s="1"/>
  <c r="E320" s="1"/>
  <c r="G320" s="1"/>
  <c r="P326"/>
  <c r="N327"/>
  <c r="O327" s="1"/>
  <c r="K189"/>
  <c r="F321" l="1"/>
  <c r="D321" s="1"/>
  <c r="E321" s="1"/>
  <c r="G321" s="1"/>
  <c r="J190"/>
  <c r="I190"/>
  <c r="P327"/>
  <c r="N328"/>
  <c r="H190" l="1"/>
  <c r="F322"/>
  <c r="D322" s="1"/>
  <c r="E322" s="1"/>
  <c r="G322" s="1"/>
  <c r="P328"/>
  <c r="N329"/>
  <c r="K190"/>
  <c r="O328"/>
  <c r="O329" l="1"/>
  <c r="F323"/>
  <c r="D323" s="1"/>
  <c r="E323" s="1"/>
  <c r="G323" s="1"/>
  <c r="J191"/>
  <c r="I191"/>
  <c r="N330"/>
  <c r="P329"/>
  <c r="H191" l="1"/>
  <c r="F324"/>
  <c r="D324" s="1"/>
  <c r="E324" s="1"/>
  <c r="G324" s="1"/>
  <c r="K191"/>
  <c r="P330"/>
  <c r="N331"/>
  <c r="O330"/>
  <c r="F325" l="1"/>
  <c r="D325" s="1"/>
  <c r="E325" s="1"/>
  <c r="G325" s="1"/>
  <c r="O331"/>
  <c r="N332"/>
  <c r="P331"/>
  <c r="J192"/>
  <c r="I192"/>
  <c r="O332" l="1"/>
  <c r="F326"/>
  <c r="D326" s="1"/>
  <c r="E326" s="1"/>
  <c r="G326" s="1"/>
  <c r="H192"/>
  <c r="K192"/>
  <c r="P332"/>
  <c r="N333"/>
  <c r="O333" s="1"/>
  <c r="F327" l="1"/>
  <c r="D327" s="1"/>
  <c r="E327" s="1"/>
  <c r="G327" s="1"/>
  <c r="J193"/>
  <c r="I193"/>
  <c r="P333"/>
  <c r="N334"/>
  <c r="H193" l="1"/>
  <c r="F328"/>
  <c r="D328" s="1"/>
  <c r="E328" s="1"/>
  <c r="G328" s="1"/>
  <c r="N335"/>
  <c r="P334"/>
  <c r="K193"/>
  <c r="O334"/>
  <c r="O335" l="1"/>
  <c r="F329"/>
  <c r="D329" s="1"/>
  <c r="E329" s="1"/>
  <c r="G329" s="1"/>
  <c r="N336"/>
  <c r="P335"/>
  <c r="J194"/>
  <c r="I194"/>
  <c r="K194" s="1"/>
  <c r="O336" l="1"/>
  <c r="F330"/>
  <c r="D330" s="1"/>
  <c r="E330" s="1"/>
  <c r="G330" s="1"/>
  <c r="J195"/>
  <c r="I195"/>
  <c r="H194"/>
  <c r="N337"/>
  <c r="O337" s="1"/>
  <c r="P336"/>
  <c r="H195" l="1"/>
  <c r="F331"/>
  <c r="D331" s="1"/>
  <c r="E331" s="1"/>
  <c r="G331" s="1"/>
  <c r="P337"/>
  <c r="N338"/>
  <c r="K195"/>
  <c r="F332" l="1"/>
  <c r="D332" s="1"/>
  <c r="E332" s="1"/>
  <c r="G332" s="1"/>
  <c r="N339"/>
  <c r="P338"/>
  <c r="J196"/>
  <c r="I196"/>
  <c r="O338"/>
  <c r="O339" s="1"/>
  <c r="H196" l="1"/>
  <c r="F333"/>
  <c r="D333" s="1"/>
  <c r="E333" s="1"/>
  <c r="G333" s="1"/>
  <c r="N340"/>
  <c r="P339"/>
  <c r="K196"/>
  <c r="F334" l="1"/>
  <c r="D334" s="1"/>
  <c r="E334" s="1"/>
  <c r="G334" s="1"/>
  <c r="N341"/>
  <c r="P340"/>
  <c r="O340"/>
  <c r="O341" s="1"/>
  <c r="J197"/>
  <c r="I197"/>
  <c r="H197" l="1"/>
  <c r="F335"/>
  <c r="D335" s="1"/>
  <c r="E335" s="1"/>
  <c r="G335" s="1"/>
  <c r="P341"/>
  <c r="N342"/>
  <c r="O342" s="1"/>
  <c r="K197"/>
  <c r="F336" l="1"/>
  <c r="D336" s="1"/>
  <c r="E336" s="1"/>
  <c r="G336" s="1"/>
  <c r="J198"/>
  <c r="I198"/>
  <c r="N343"/>
  <c r="P342"/>
  <c r="H198" l="1"/>
  <c r="F337"/>
  <c r="D337" s="1"/>
  <c r="E337" s="1"/>
  <c r="G337" s="1"/>
  <c r="K198"/>
  <c r="N344"/>
  <c r="P343"/>
  <c r="O343"/>
  <c r="O344" l="1"/>
  <c r="F338"/>
  <c r="D338" s="1"/>
  <c r="E338" s="1"/>
  <c r="G338" s="1"/>
  <c r="N345"/>
  <c r="P344"/>
  <c r="J199"/>
  <c r="I199"/>
  <c r="O345" l="1"/>
  <c r="H199"/>
  <c r="F339"/>
  <c r="D339" s="1"/>
  <c r="E339" s="1"/>
  <c r="G339" s="1"/>
  <c r="K199"/>
  <c r="P345"/>
  <c r="N346"/>
  <c r="F340" l="1"/>
  <c r="D340" s="1"/>
  <c r="E340" s="1"/>
  <c r="G340" s="1"/>
  <c r="N347"/>
  <c r="P346"/>
  <c r="J200"/>
  <c r="I200"/>
  <c r="K200" s="1"/>
  <c r="O346"/>
  <c r="O347" s="1"/>
  <c r="F341" l="1"/>
  <c r="D341" s="1"/>
  <c r="E341" s="1"/>
  <c r="G341" s="1"/>
  <c r="J201"/>
  <c r="I201"/>
  <c r="K201" s="1"/>
  <c r="N348"/>
  <c r="P347"/>
  <c r="H200"/>
  <c r="F342" l="1"/>
  <c r="D342" s="1"/>
  <c r="E342" s="1"/>
  <c r="G342" s="1"/>
  <c r="J202"/>
  <c r="I202"/>
  <c r="N349"/>
  <c r="P348"/>
  <c r="H201"/>
  <c r="O348"/>
  <c r="H202" l="1"/>
  <c r="O349"/>
  <c r="F343"/>
  <c r="D343" s="1"/>
  <c r="E343" s="1"/>
  <c r="G343" s="1"/>
  <c r="P349"/>
  <c r="N350"/>
  <c r="K202"/>
  <c r="O350" l="1"/>
  <c r="F344"/>
  <c r="D344" s="1"/>
  <c r="E344" s="1"/>
  <c r="G344" s="1"/>
  <c r="J203"/>
  <c r="I203"/>
  <c r="N351"/>
  <c r="P350"/>
  <c r="O351" l="1"/>
  <c r="H203"/>
  <c r="F345"/>
  <c r="D345" s="1"/>
  <c r="E345" s="1"/>
  <c r="G345" s="1"/>
  <c r="P351"/>
  <c r="N352"/>
  <c r="O352" s="1"/>
  <c r="K203"/>
  <c r="F346" l="1"/>
  <c r="D346" s="1"/>
  <c r="E346" s="1"/>
  <c r="G346" s="1"/>
  <c r="J204"/>
  <c r="I204"/>
  <c r="P352"/>
  <c r="N353"/>
  <c r="H204" l="1"/>
  <c r="F347"/>
  <c r="D347" s="1"/>
  <c r="E347" s="1"/>
  <c r="G347" s="1"/>
  <c r="K204"/>
  <c r="P353"/>
  <c r="N354"/>
  <c r="O353"/>
  <c r="O354" l="1"/>
  <c r="F348"/>
  <c r="D348" s="1"/>
  <c r="E348" s="1"/>
  <c r="G348" s="1"/>
  <c r="J205"/>
  <c r="I205"/>
  <c r="N355"/>
  <c r="P354"/>
  <c r="O355" l="1"/>
  <c r="H205"/>
  <c r="F349"/>
  <c r="D349" s="1"/>
  <c r="E349" s="1"/>
  <c r="G349" s="1"/>
  <c r="P355"/>
  <c r="N356"/>
  <c r="K205"/>
  <c r="F350" l="1"/>
  <c r="D350" s="1"/>
  <c r="E350" s="1"/>
  <c r="G350" s="1"/>
  <c r="J206"/>
  <c r="I206"/>
  <c r="P356"/>
  <c r="N357"/>
  <c r="O356"/>
  <c r="H206" l="1"/>
  <c r="K206"/>
  <c r="I207" s="1"/>
  <c r="K207" s="1"/>
  <c r="F351"/>
  <c r="D351" s="1"/>
  <c r="E351" s="1"/>
  <c r="G351" s="1"/>
  <c r="P357"/>
  <c r="N358"/>
  <c r="O357"/>
  <c r="J207" l="1"/>
  <c r="H207" s="1"/>
  <c r="O358"/>
  <c r="F352"/>
  <c r="D352" s="1"/>
  <c r="E352" s="1"/>
  <c r="G352" s="1"/>
  <c r="J208"/>
  <c r="I208"/>
  <c r="P358"/>
  <c r="N359"/>
  <c r="O359" s="1"/>
  <c r="F353" l="1"/>
  <c r="D353" s="1"/>
  <c r="E353" s="1"/>
  <c r="G353" s="1"/>
  <c r="N360"/>
  <c r="P359"/>
  <c r="H208"/>
  <c r="K208"/>
  <c r="F354" l="1"/>
  <c r="D354" s="1"/>
  <c r="E354" s="1"/>
  <c r="G354" s="1"/>
  <c r="J209"/>
  <c r="I209"/>
  <c r="N361"/>
  <c r="P360"/>
  <c r="O360"/>
  <c r="H209" l="1"/>
  <c r="F355"/>
  <c r="D355" s="1"/>
  <c r="E355" s="1"/>
  <c r="G355" s="1"/>
  <c r="P361"/>
  <c r="N362"/>
  <c r="O361"/>
  <c r="K209"/>
  <c r="O362" l="1"/>
  <c r="F356"/>
  <c r="D356" s="1"/>
  <c r="E356" s="1"/>
  <c r="G356" s="1"/>
  <c r="J210"/>
  <c r="I210"/>
  <c r="P362"/>
  <c r="N363"/>
  <c r="O363" l="1"/>
  <c r="H210"/>
  <c r="K210"/>
  <c r="I211" s="1"/>
  <c r="F357"/>
  <c r="D357" s="1"/>
  <c r="E357" s="1"/>
  <c r="G357" s="1"/>
  <c r="N364"/>
  <c r="O364" s="1"/>
  <c r="P363"/>
  <c r="J211" l="1"/>
  <c r="H211" s="1"/>
  <c r="F358"/>
  <c r="D358" s="1"/>
  <c r="E358" s="1"/>
  <c r="G358" s="1"/>
  <c r="P364"/>
  <c r="N365"/>
  <c r="O365" s="1"/>
  <c r="K211"/>
  <c r="F359" l="1"/>
  <c r="D359" s="1"/>
  <c r="E359" s="1"/>
  <c r="G359" s="1"/>
  <c r="J212"/>
  <c r="I212"/>
  <c r="P365"/>
  <c r="N366"/>
  <c r="O366" s="1"/>
  <c r="F360" l="1"/>
  <c r="D360" s="1"/>
  <c r="E360" s="1"/>
  <c r="G360" s="1"/>
  <c r="H212"/>
  <c r="P366"/>
  <c r="N367"/>
  <c r="K212"/>
  <c r="F361" l="1"/>
  <c r="D361" s="1"/>
  <c r="E361" s="1"/>
  <c r="G361" s="1"/>
  <c r="J213"/>
  <c r="I213"/>
  <c r="N368"/>
  <c r="P367"/>
  <c r="O367"/>
  <c r="H213" l="1"/>
  <c r="K213"/>
  <c r="J214" s="1"/>
  <c r="F362"/>
  <c r="D362" s="1"/>
  <c r="E362" s="1"/>
  <c r="G362" s="1"/>
  <c r="N369"/>
  <c r="P368"/>
  <c r="O368"/>
  <c r="I214" l="1"/>
  <c r="K214" s="1"/>
  <c r="F363"/>
  <c r="D363" s="1"/>
  <c r="E363" s="1"/>
  <c r="G363" s="1"/>
  <c r="P369"/>
  <c r="N370"/>
  <c r="O369"/>
  <c r="O370" l="1"/>
  <c r="H214"/>
  <c r="J215"/>
  <c r="I215"/>
  <c r="F364"/>
  <c r="D364" s="1"/>
  <c r="E364" s="1"/>
  <c r="G364" s="1"/>
  <c r="P370"/>
  <c r="N371"/>
  <c r="H215" l="1"/>
  <c r="K215"/>
  <c r="J216" s="1"/>
  <c r="F365"/>
  <c r="D365" s="1"/>
  <c r="E365" s="1"/>
  <c r="G365" s="1"/>
  <c r="N372"/>
  <c r="P371"/>
  <c r="O371"/>
  <c r="I216" l="1"/>
  <c r="H216" s="1"/>
  <c r="F366"/>
  <c r="D366" s="1"/>
  <c r="E366" s="1"/>
  <c r="G366" s="1"/>
  <c r="O372"/>
  <c r="P372"/>
  <c r="N373"/>
  <c r="K216" l="1"/>
  <c r="J217" s="1"/>
  <c r="O373"/>
  <c r="F367"/>
  <c r="D367" s="1"/>
  <c r="E367" s="1"/>
  <c r="G367" s="1"/>
  <c r="P373"/>
  <c r="N374"/>
  <c r="O374" l="1"/>
  <c r="I217"/>
  <c r="H217" s="1"/>
  <c r="F368"/>
  <c r="D368" s="1"/>
  <c r="E368" s="1"/>
  <c r="G368" s="1"/>
  <c r="P374"/>
  <c r="N375"/>
  <c r="K217" l="1"/>
  <c r="I218" s="1"/>
  <c r="F369"/>
  <c r="D369" s="1"/>
  <c r="E369" s="1"/>
  <c r="G369" s="1"/>
  <c r="N376"/>
  <c r="P375"/>
  <c r="O375"/>
  <c r="J218" l="1"/>
  <c r="H218" s="1"/>
  <c r="F370"/>
  <c r="D370" s="1"/>
  <c r="E370" s="1"/>
  <c r="G370" s="1"/>
  <c r="N377"/>
  <c r="P376"/>
  <c r="O376"/>
  <c r="K218"/>
  <c r="F371" l="1"/>
  <c r="D371" s="1"/>
  <c r="E371" s="1"/>
  <c r="G371" s="1"/>
  <c r="P377"/>
  <c r="N378"/>
  <c r="O377"/>
  <c r="J219"/>
  <c r="I219"/>
  <c r="K219" s="1"/>
  <c r="O378" l="1"/>
  <c r="F372"/>
  <c r="D372" s="1"/>
  <c r="E372" s="1"/>
  <c r="G372" s="1"/>
  <c r="J220"/>
  <c r="I220"/>
  <c r="H219"/>
  <c r="P378"/>
  <c r="N379"/>
  <c r="O379" s="1"/>
  <c r="F373" l="1"/>
  <c r="D373" s="1"/>
  <c r="E373" s="1"/>
  <c r="G373" s="1"/>
  <c r="N380"/>
  <c r="O380" s="1"/>
  <c r="P379"/>
  <c r="H220"/>
  <c r="K220"/>
  <c r="F374" l="1"/>
  <c r="D374" s="1"/>
  <c r="E374" s="1"/>
  <c r="G374" s="1"/>
  <c r="J221"/>
  <c r="I221"/>
  <c r="P380"/>
  <c r="N381"/>
  <c r="H221" l="1"/>
  <c r="F375"/>
  <c r="D375" s="1"/>
  <c r="E375" s="1"/>
  <c r="G375" s="1"/>
  <c r="P381"/>
  <c r="N382"/>
  <c r="K221"/>
  <c r="O381"/>
  <c r="O382" l="1"/>
  <c r="F376"/>
  <c r="D376" s="1"/>
  <c r="E376" s="1"/>
  <c r="G376" s="1"/>
  <c r="J222"/>
  <c r="I222"/>
  <c r="P382"/>
  <c r="N383"/>
  <c r="O383" s="1"/>
  <c r="H222" l="1"/>
  <c r="F377"/>
  <c r="D377" s="1"/>
  <c r="E377" s="1"/>
  <c r="G377" s="1"/>
  <c r="N384"/>
  <c r="O384" s="1"/>
  <c r="P383"/>
  <c r="K222"/>
  <c r="F378" l="1"/>
  <c r="D378" s="1"/>
  <c r="E378" s="1"/>
  <c r="G378" s="1"/>
  <c r="J223"/>
  <c r="I223"/>
  <c r="N385"/>
  <c r="O385" s="1"/>
  <c r="P384"/>
  <c r="H223" l="1"/>
  <c r="F379"/>
  <c r="D379" s="1"/>
  <c r="E379" s="1"/>
  <c r="G379" s="1"/>
  <c r="P385"/>
  <c r="N386"/>
  <c r="K223"/>
  <c r="F380" l="1"/>
  <c r="D380" s="1"/>
  <c r="E380" s="1"/>
  <c r="G380" s="1"/>
  <c r="P386"/>
  <c r="N387"/>
  <c r="J224"/>
  <c r="I224"/>
  <c r="O386"/>
  <c r="H224" l="1"/>
  <c r="F381"/>
  <c r="D381" s="1"/>
  <c r="E381" s="1"/>
  <c r="G381" s="1"/>
  <c r="O387"/>
  <c r="K224"/>
  <c r="N388"/>
  <c r="P387"/>
  <c r="F382" l="1"/>
  <c r="D382" s="1"/>
  <c r="E382" s="1"/>
  <c r="G382" s="1"/>
  <c r="P388"/>
  <c r="N389"/>
  <c r="J225"/>
  <c r="I225"/>
  <c r="O388"/>
  <c r="H225" l="1"/>
  <c r="O389"/>
  <c r="K225"/>
  <c r="I226" s="1"/>
  <c r="F383"/>
  <c r="D383" s="1"/>
  <c r="E383" s="1"/>
  <c r="G383" s="1"/>
  <c r="P389"/>
  <c r="N390"/>
  <c r="O390" l="1"/>
  <c r="J226"/>
  <c r="H226" s="1"/>
  <c r="F384"/>
  <c r="D384" s="1"/>
  <c r="E384" s="1"/>
  <c r="G384" s="1"/>
  <c r="K226"/>
  <c r="P390"/>
  <c r="N391"/>
  <c r="F385" l="1"/>
  <c r="D385" s="1"/>
  <c r="E385" s="1"/>
  <c r="G385" s="1"/>
  <c r="N392"/>
  <c r="P391"/>
  <c r="J227"/>
  <c r="I227"/>
  <c r="K227" s="1"/>
  <c r="O391"/>
  <c r="O392" s="1"/>
  <c r="H227" l="1"/>
  <c r="F386"/>
  <c r="D386" s="1"/>
  <c r="E386" s="1"/>
  <c r="G386" s="1"/>
  <c r="N393"/>
  <c r="P392"/>
  <c r="J228"/>
  <c r="I228"/>
  <c r="K228" s="1"/>
  <c r="O393"/>
  <c r="H228" l="1"/>
  <c r="F387"/>
  <c r="D387" s="1"/>
  <c r="E387" s="1"/>
  <c r="G387" s="1"/>
  <c r="P393"/>
  <c r="N394"/>
  <c r="J229"/>
  <c r="I229"/>
  <c r="H229" l="1"/>
  <c r="K229"/>
  <c r="J230" s="1"/>
  <c r="F388"/>
  <c r="D388" s="1"/>
  <c r="E388" s="1"/>
  <c r="G388" s="1"/>
  <c r="P394"/>
  <c r="N395"/>
  <c r="O394"/>
  <c r="I230" l="1"/>
  <c r="H230" s="1"/>
  <c r="F389"/>
  <c r="D389" s="1"/>
  <c r="E389" s="1"/>
  <c r="G389" s="1"/>
  <c r="N396"/>
  <c r="P395"/>
  <c r="O395"/>
  <c r="O396" l="1"/>
  <c r="K230"/>
  <c r="I231" s="1"/>
  <c r="F390"/>
  <c r="D390" s="1"/>
  <c r="E390" s="1"/>
  <c r="G390" s="1"/>
  <c r="P396"/>
  <c r="N397"/>
  <c r="O397" s="1"/>
  <c r="J231" l="1"/>
  <c r="H231" s="1"/>
  <c r="F391"/>
  <c r="D391" s="1"/>
  <c r="E391" s="1"/>
  <c r="G391" s="1"/>
  <c r="P397"/>
  <c r="N398"/>
  <c r="K231"/>
  <c r="F392" l="1"/>
  <c r="D392" s="1"/>
  <c r="E392" s="1"/>
  <c r="G392" s="1"/>
  <c r="P398"/>
  <c r="N399"/>
  <c r="J232"/>
  <c r="I232"/>
  <c r="O398"/>
  <c r="H232" l="1"/>
  <c r="F393"/>
  <c r="D393" s="1"/>
  <c r="E393" s="1"/>
  <c r="G393" s="1"/>
  <c r="K232"/>
  <c r="O399"/>
  <c r="N400"/>
  <c r="P399"/>
  <c r="F394" l="1"/>
  <c r="D394" s="1"/>
  <c r="E394" s="1"/>
  <c r="G394" s="1"/>
  <c r="N401"/>
  <c r="P400"/>
  <c r="O400"/>
  <c r="O401" s="1"/>
  <c r="J233"/>
  <c r="I233"/>
  <c r="H233" l="1"/>
  <c r="F395"/>
  <c r="D395" s="1"/>
  <c r="E395" s="1"/>
  <c r="G395" s="1"/>
  <c r="K233"/>
  <c r="P401"/>
  <c r="N402"/>
  <c r="F396" l="1"/>
  <c r="D396" s="1"/>
  <c r="E396" s="1"/>
  <c r="G396" s="1"/>
  <c r="P402"/>
  <c r="N403"/>
  <c r="J234"/>
  <c r="I234"/>
  <c r="O402"/>
  <c r="H234" l="1"/>
  <c r="F397"/>
  <c r="D397" s="1"/>
  <c r="E397" s="1"/>
  <c r="G397" s="1"/>
  <c r="O403"/>
  <c r="K234"/>
  <c r="N404"/>
  <c r="P403"/>
  <c r="F398" l="1"/>
  <c r="D398" s="1"/>
  <c r="E398" s="1"/>
  <c r="G398" s="1"/>
  <c r="P404"/>
  <c r="N405"/>
  <c r="J235"/>
  <c r="I235"/>
  <c r="O404"/>
  <c r="H235" l="1"/>
  <c r="O405"/>
  <c r="F399"/>
  <c r="D399" s="1"/>
  <c r="E399" s="1"/>
  <c r="G399" s="1"/>
  <c r="K235"/>
  <c r="P405"/>
  <c r="N406"/>
  <c r="F400" l="1"/>
  <c r="D400" s="1"/>
  <c r="E400" s="1"/>
  <c r="G400" s="1"/>
  <c r="J236"/>
  <c r="I236"/>
  <c r="K236" s="1"/>
  <c r="P406"/>
  <c r="N407"/>
  <c r="O406"/>
  <c r="F401" l="1"/>
  <c r="D401" s="1"/>
  <c r="E401" s="1"/>
  <c r="G401" s="1"/>
  <c r="N408"/>
  <c r="P407"/>
  <c r="O407"/>
  <c r="O408" s="1"/>
  <c r="H236"/>
  <c r="J237"/>
  <c r="I237"/>
  <c r="H237" l="1"/>
  <c r="F402"/>
  <c r="D402" s="1"/>
  <c r="E402" s="1"/>
  <c r="G402" s="1"/>
  <c r="N409"/>
  <c r="P408"/>
  <c r="K237"/>
  <c r="F403" l="1"/>
  <c r="D403" s="1"/>
  <c r="E403" s="1"/>
  <c r="G403" s="1"/>
  <c r="P409"/>
  <c r="N410"/>
  <c r="J238"/>
  <c r="I238"/>
  <c r="O409"/>
  <c r="H238" l="1"/>
  <c r="O410"/>
  <c r="F404"/>
  <c r="D404" s="1"/>
  <c r="E404" s="1"/>
  <c r="G404" s="1"/>
  <c r="K238"/>
  <c r="P410"/>
  <c r="N411"/>
  <c r="F405" l="1"/>
  <c r="D405" s="1"/>
  <c r="E405" s="1"/>
  <c r="G405" s="1"/>
  <c r="N412"/>
  <c r="P411"/>
  <c r="O411"/>
  <c r="O412" s="1"/>
  <c r="J239"/>
  <c r="I239"/>
  <c r="H239" l="1"/>
  <c r="K239"/>
  <c r="J240" s="1"/>
  <c r="F406"/>
  <c r="D406" s="1"/>
  <c r="E406" s="1"/>
  <c r="G406" s="1"/>
  <c r="N413"/>
  <c r="P412"/>
  <c r="I240" l="1"/>
  <c r="K240" s="1"/>
  <c r="F407"/>
  <c r="D407" s="1"/>
  <c r="E407" s="1"/>
  <c r="G407" s="1"/>
  <c r="P413"/>
  <c r="N414"/>
  <c r="O413"/>
  <c r="O414" l="1"/>
  <c r="I241"/>
  <c r="K241" s="1"/>
  <c r="J241"/>
  <c r="H240"/>
  <c r="F408"/>
  <c r="D408" s="1"/>
  <c r="E408" s="1"/>
  <c r="G408" s="1"/>
  <c r="P414"/>
  <c r="N415"/>
  <c r="O415" s="1"/>
  <c r="H241" l="1"/>
  <c r="F409"/>
  <c r="D409" s="1"/>
  <c r="E409" s="1"/>
  <c r="G409" s="1"/>
  <c r="J242"/>
  <c r="I242"/>
  <c r="N416"/>
  <c r="P415"/>
  <c r="H242" l="1"/>
  <c r="F410"/>
  <c r="D410" s="1"/>
  <c r="E410" s="1"/>
  <c r="G410" s="1"/>
  <c r="P416"/>
  <c r="N417"/>
  <c r="K242"/>
  <c r="O416"/>
  <c r="F411" l="1"/>
  <c r="D411" s="1"/>
  <c r="E411" s="1"/>
  <c r="G411" s="1"/>
  <c r="O417"/>
  <c r="J243"/>
  <c r="I243"/>
  <c r="P417"/>
  <c r="N418"/>
  <c r="F412" l="1"/>
  <c r="D412" s="1"/>
  <c r="E412" s="1"/>
  <c r="G412" s="1"/>
  <c r="H243"/>
  <c r="P418"/>
  <c r="N419"/>
  <c r="K243"/>
  <c r="O418"/>
  <c r="O419" l="1"/>
  <c r="F413"/>
  <c r="D413" s="1"/>
  <c r="E413" s="1"/>
  <c r="G413" s="1"/>
  <c r="J244"/>
  <c r="I244"/>
  <c r="N420"/>
  <c r="P419"/>
  <c r="H244" l="1"/>
  <c r="F414"/>
  <c r="D414" s="1"/>
  <c r="E414" s="1"/>
  <c r="G414" s="1"/>
  <c r="P420"/>
  <c r="N421"/>
  <c r="O420"/>
  <c r="K244"/>
  <c r="F415" l="1"/>
  <c r="D415" s="1"/>
  <c r="E415" s="1"/>
  <c r="G415" s="1"/>
  <c r="J245"/>
  <c r="I245"/>
  <c r="O421"/>
  <c r="P421"/>
  <c r="N422"/>
  <c r="H245" l="1"/>
  <c r="O422"/>
  <c r="F416"/>
  <c r="D416" s="1"/>
  <c r="E416" s="1"/>
  <c r="G416" s="1"/>
  <c r="P422"/>
  <c r="N423"/>
  <c r="K245"/>
  <c r="O423" l="1"/>
  <c r="F417"/>
  <c r="D417" s="1"/>
  <c r="E417" s="1"/>
  <c r="G417" s="1"/>
  <c r="J246"/>
  <c r="I246"/>
  <c r="N424"/>
  <c r="P423"/>
  <c r="H246" l="1"/>
  <c r="F418"/>
  <c r="D418" s="1"/>
  <c r="E418" s="1"/>
  <c r="G418" s="1"/>
  <c r="P424"/>
  <c r="N425"/>
  <c r="O424"/>
  <c r="K246"/>
  <c r="F419" l="1"/>
  <c r="D419" s="1"/>
  <c r="E419" s="1"/>
  <c r="G419" s="1"/>
  <c r="J247"/>
  <c r="I247"/>
  <c r="O425"/>
  <c r="P425"/>
  <c r="N426"/>
  <c r="O426" l="1"/>
  <c r="F420"/>
  <c r="D420" s="1"/>
  <c r="E420" s="1"/>
  <c r="G420" s="1"/>
  <c r="H247"/>
  <c r="P426"/>
  <c r="N427"/>
  <c r="K247"/>
  <c r="F421" l="1"/>
  <c r="D421" s="1"/>
  <c r="E421" s="1"/>
  <c r="G421" s="1"/>
  <c r="N428"/>
  <c r="P427"/>
  <c r="O427"/>
  <c r="J248"/>
  <c r="I248"/>
  <c r="H248" l="1"/>
  <c r="K248"/>
  <c r="I249" s="1"/>
  <c r="F422"/>
  <c r="D422" s="1"/>
  <c r="E422" s="1"/>
  <c r="G422" s="1"/>
  <c r="P428"/>
  <c r="N429"/>
  <c r="O428"/>
  <c r="J249" l="1"/>
  <c r="H249" s="1"/>
  <c r="F423"/>
  <c r="D423" s="1"/>
  <c r="E423" s="1"/>
  <c r="G423" s="1"/>
  <c r="P429"/>
  <c r="N430"/>
  <c r="O429"/>
  <c r="K249"/>
  <c r="O430" l="1"/>
  <c r="F424"/>
  <c r="D424" s="1"/>
  <c r="E424" s="1"/>
  <c r="G424" s="1"/>
  <c r="J250"/>
  <c r="I250"/>
  <c r="P430"/>
  <c r="N431"/>
  <c r="H250" l="1"/>
  <c r="F425"/>
  <c r="D425" s="1"/>
  <c r="E425" s="1"/>
  <c r="G425" s="1"/>
  <c r="N432"/>
  <c r="P431"/>
  <c r="K250"/>
  <c r="O431"/>
  <c r="O432" l="1"/>
  <c r="F426"/>
  <c r="D426" s="1"/>
  <c r="E426" s="1"/>
  <c r="G426" s="1"/>
  <c r="P432"/>
  <c r="N433"/>
  <c r="J251"/>
  <c r="I251"/>
  <c r="H251" l="1"/>
  <c r="F427"/>
  <c r="D427" s="1"/>
  <c r="E427" s="1"/>
  <c r="G427" s="1"/>
  <c r="P433"/>
  <c r="N434"/>
  <c r="K251"/>
  <c r="O433"/>
  <c r="O434" l="1"/>
  <c r="F428"/>
  <c r="D428" s="1"/>
  <c r="E428" s="1"/>
  <c r="G428" s="1"/>
  <c r="J252"/>
  <c r="I252"/>
  <c r="P434"/>
  <c r="N435"/>
  <c r="O435" s="1"/>
  <c r="H252" l="1"/>
  <c r="F429"/>
  <c r="D429" s="1"/>
  <c r="E429" s="1"/>
  <c r="G429" s="1"/>
  <c r="N436"/>
  <c r="P435"/>
  <c r="K252"/>
  <c r="F430" l="1"/>
  <c r="D430" s="1"/>
  <c r="E430" s="1"/>
  <c r="G430" s="1"/>
  <c r="J253"/>
  <c r="I253"/>
  <c r="K253" s="1"/>
  <c r="P436"/>
  <c r="N437"/>
  <c r="O436"/>
  <c r="O437" l="1"/>
  <c r="F431"/>
  <c r="D431" s="1"/>
  <c r="E431" s="1"/>
  <c r="G431" s="1"/>
  <c r="H253"/>
  <c r="P437"/>
  <c r="N438"/>
  <c r="J254"/>
  <c r="I254"/>
  <c r="H254" l="1"/>
  <c r="F432"/>
  <c r="D432" s="1"/>
  <c r="E432" s="1"/>
  <c r="G432" s="1"/>
  <c r="P438"/>
  <c r="N439"/>
  <c r="K254"/>
  <c r="O438"/>
  <c r="O439" l="1"/>
  <c r="F433"/>
  <c r="D433" s="1"/>
  <c r="E433" s="1"/>
  <c r="G433" s="1"/>
  <c r="J255"/>
  <c r="I255"/>
  <c r="N440"/>
  <c r="P439"/>
  <c r="H255" l="1"/>
  <c r="F434"/>
  <c r="D434" s="1"/>
  <c r="E434" s="1"/>
  <c r="G434" s="1"/>
  <c r="K255"/>
  <c r="P440"/>
  <c r="N441"/>
  <c r="O440"/>
  <c r="O441" l="1"/>
  <c r="F435"/>
  <c r="D435" s="1"/>
  <c r="E435" s="1"/>
  <c r="G435" s="1"/>
  <c r="J256"/>
  <c r="I256"/>
  <c r="P441"/>
  <c r="N442"/>
  <c r="O442" l="1"/>
  <c r="H256"/>
  <c r="K256"/>
  <c r="I257" s="1"/>
  <c r="F436"/>
  <c r="D436" s="1"/>
  <c r="E436" s="1"/>
  <c r="G436" s="1"/>
  <c r="P442"/>
  <c r="N443"/>
  <c r="J257" l="1"/>
  <c r="H257" s="1"/>
  <c r="F437"/>
  <c r="D437" s="1"/>
  <c r="E437" s="1"/>
  <c r="G437" s="1"/>
  <c r="K257"/>
  <c r="N444"/>
  <c r="P443"/>
  <c r="O443"/>
  <c r="O444" l="1"/>
  <c r="F438"/>
  <c r="D438" s="1"/>
  <c r="E438" s="1"/>
  <c r="G438" s="1"/>
  <c r="J258"/>
  <c r="I258"/>
  <c r="P444"/>
  <c r="N445"/>
  <c r="O445" s="1"/>
  <c r="H258" l="1"/>
  <c r="K258"/>
  <c r="J259" s="1"/>
  <c r="F439"/>
  <c r="D439" s="1"/>
  <c r="E439" s="1"/>
  <c r="G439" s="1"/>
  <c r="P445"/>
  <c r="N446"/>
  <c r="O446" s="1"/>
  <c r="I259" l="1"/>
  <c r="H259" s="1"/>
  <c r="F440"/>
  <c r="D440" s="1"/>
  <c r="E440" s="1"/>
  <c r="G440" s="1"/>
  <c r="P446"/>
  <c r="N447"/>
  <c r="K259" l="1"/>
  <c r="J260" s="1"/>
  <c r="F441"/>
  <c r="D441" s="1"/>
  <c r="E441" s="1"/>
  <c r="G441" s="1"/>
  <c r="N448"/>
  <c r="P447"/>
  <c r="O447"/>
  <c r="I260" l="1"/>
  <c r="H260" s="1"/>
  <c r="O448"/>
  <c r="F442"/>
  <c r="D442" s="1"/>
  <c r="E442" s="1"/>
  <c r="G442" s="1"/>
  <c r="P448"/>
  <c r="N449"/>
  <c r="O449" l="1"/>
  <c r="K260"/>
  <c r="J261" s="1"/>
  <c r="F443"/>
  <c r="D443" s="1"/>
  <c r="E443" s="1"/>
  <c r="G443" s="1"/>
  <c r="P449"/>
  <c r="N450"/>
  <c r="O450" s="1"/>
  <c r="I261" l="1"/>
  <c r="H261" s="1"/>
  <c r="F444"/>
  <c r="D444" s="1"/>
  <c r="E444" s="1"/>
  <c r="G444" s="1"/>
  <c r="P450"/>
  <c r="N451"/>
  <c r="O451" s="1"/>
  <c r="K261" l="1"/>
  <c r="J262" s="1"/>
  <c r="F445"/>
  <c r="D445" s="1"/>
  <c r="E445" s="1"/>
  <c r="G445" s="1"/>
  <c r="N452"/>
  <c r="P451"/>
  <c r="I262" l="1"/>
  <c r="K262" s="1"/>
  <c r="F446"/>
  <c r="D446" s="1"/>
  <c r="E446" s="1"/>
  <c r="G446" s="1"/>
  <c r="P452"/>
  <c r="N453"/>
  <c r="O452"/>
  <c r="H262" l="1"/>
  <c r="I263"/>
  <c r="J263"/>
  <c r="O453"/>
  <c r="F447"/>
  <c r="D447" s="1"/>
  <c r="E447" s="1"/>
  <c r="G447" s="1"/>
  <c r="P453"/>
  <c r="N454"/>
  <c r="O454" l="1"/>
  <c r="H263"/>
  <c r="K263"/>
  <c r="F448"/>
  <c r="D448" s="1"/>
  <c r="E448" s="1"/>
  <c r="G448" s="1"/>
  <c r="P454"/>
  <c r="N455"/>
  <c r="J264" l="1"/>
  <c r="I264"/>
  <c r="F449"/>
  <c r="D449" s="1"/>
  <c r="E449" s="1"/>
  <c r="G449" s="1"/>
  <c r="N456"/>
  <c r="P455"/>
  <c r="O455"/>
  <c r="K264" l="1"/>
  <c r="H264"/>
  <c r="O456"/>
  <c r="F450"/>
  <c r="D450" s="1"/>
  <c r="E450" s="1"/>
  <c r="G450" s="1"/>
  <c r="P456"/>
  <c r="N457"/>
  <c r="J265" l="1"/>
  <c r="I265"/>
  <c r="O457"/>
  <c r="F451"/>
  <c r="D451" s="1"/>
  <c r="E451" s="1"/>
  <c r="G451" s="1"/>
  <c r="P457"/>
  <c r="N458"/>
  <c r="H265" l="1"/>
  <c r="K265"/>
  <c r="F452"/>
  <c r="D452" s="1"/>
  <c r="E452" s="1"/>
  <c r="G452" s="1"/>
  <c r="P458"/>
  <c r="N459"/>
  <c r="O458"/>
  <c r="J266" l="1"/>
  <c r="I266"/>
  <c r="O459"/>
  <c r="F453"/>
  <c r="D453" s="1"/>
  <c r="E453" s="1"/>
  <c r="G453" s="1"/>
  <c r="N460"/>
  <c r="P459"/>
  <c r="H266" l="1"/>
  <c r="K266"/>
  <c r="F454"/>
  <c r="D454" s="1"/>
  <c r="E454" s="1"/>
  <c r="G454" s="1"/>
  <c r="P460"/>
  <c r="N461"/>
  <c r="O460"/>
  <c r="I267" l="1"/>
  <c r="K267" s="1"/>
  <c r="J267"/>
  <c r="O461"/>
  <c r="F455"/>
  <c r="D455" s="1"/>
  <c r="E455" s="1"/>
  <c r="G455" s="1"/>
  <c r="P461"/>
  <c r="N462"/>
  <c r="O462" l="1"/>
  <c r="H267"/>
  <c r="J268"/>
  <c r="I268"/>
  <c r="F456"/>
  <c r="D456" s="1"/>
  <c r="E456" s="1"/>
  <c r="G456" s="1"/>
  <c r="P462"/>
  <c r="N463"/>
  <c r="O463" l="1"/>
  <c r="H268"/>
  <c r="K268"/>
  <c r="F457"/>
  <c r="D457" s="1"/>
  <c r="E457" s="1"/>
  <c r="G457" s="1"/>
  <c r="N464"/>
  <c r="O464" s="1"/>
  <c r="P463"/>
  <c r="I269" l="1"/>
  <c r="J269"/>
  <c r="F458"/>
  <c r="D458" s="1"/>
  <c r="E458" s="1"/>
  <c r="G458" s="1"/>
  <c r="P464"/>
  <c r="N465"/>
  <c r="O465" s="1"/>
  <c r="H269" l="1"/>
  <c r="K269"/>
  <c r="F459"/>
  <c r="D459" s="1"/>
  <c r="E459" s="1"/>
  <c r="G459" s="1"/>
  <c r="N466"/>
  <c r="P465"/>
  <c r="I270" l="1"/>
  <c r="K270" s="1"/>
  <c r="J270"/>
  <c r="F460"/>
  <c r="D460" s="1"/>
  <c r="E460" s="1"/>
  <c r="G460" s="1"/>
  <c r="N467"/>
  <c r="P466"/>
  <c r="O466"/>
  <c r="I271" l="1"/>
  <c r="K271" s="1"/>
  <c r="J272" s="1"/>
  <c r="J271"/>
  <c r="H270"/>
  <c r="O467"/>
  <c r="F461"/>
  <c r="D461" s="1"/>
  <c r="E461" s="1"/>
  <c r="G461" s="1"/>
  <c r="N468"/>
  <c r="P467"/>
  <c r="O468" l="1"/>
  <c r="I272"/>
  <c r="K272" s="1"/>
  <c r="J273" s="1"/>
  <c r="H271"/>
  <c r="F462"/>
  <c r="D462" s="1"/>
  <c r="E462" s="1"/>
  <c r="G462" s="1"/>
  <c r="P468"/>
  <c r="N469"/>
  <c r="O469" s="1"/>
  <c r="H272" l="1"/>
  <c r="I273"/>
  <c r="H273" s="1"/>
  <c r="F463"/>
  <c r="D463" s="1"/>
  <c r="E463" s="1"/>
  <c r="G463" s="1"/>
  <c r="N470"/>
  <c r="P469"/>
  <c r="K273" l="1"/>
  <c r="J274" s="1"/>
  <c r="F464"/>
  <c r="D464" s="1"/>
  <c r="E464" s="1"/>
  <c r="G464" s="1"/>
  <c r="N471"/>
  <c r="P470"/>
  <c r="O470"/>
  <c r="I274" l="1"/>
  <c r="H274" s="1"/>
  <c r="O471"/>
  <c r="F465"/>
  <c r="D465" s="1"/>
  <c r="E465" s="1"/>
  <c r="G465" s="1"/>
  <c r="N472"/>
  <c r="P471"/>
  <c r="K274"/>
  <c r="O472" l="1"/>
  <c r="F466"/>
  <c r="D466" s="1"/>
  <c r="E466" s="1"/>
  <c r="G466" s="1"/>
  <c r="J275"/>
  <c r="I275"/>
  <c r="P472"/>
  <c r="N473"/>
  <c r="H275" l="1"/>
  <c r="F467"/>
  <c r="D467" s="1"/>
  <c r="E467" s="1"/>
  <c r="G467" s="1"/>
  <c r="N474"/>
  <c r="P473"/>
  <c r="K275"/>
  <c r="O473"/>
  <c r="O474" l="1"/>
  <c r="F468"/>
  <c r="D468" s="1"/>
  <c r="E468" s="1"/>
  <c r="G468" s="1"/>
  <c r="N475"/>
  <c r="P474"/>
  <c r="J276"/>
  <c r="I276"/>
  <c r="O475" l="1"/>
  <c r="H276"/>
  <c r="F469"/>
  <c r="D469" s="1"/>
  <c r="E469" s="1"/>
  <c r="G469" s="1"/>
  <c r="K276"/>
  <c r="N476"/>
  <c r="P475"/>
  <c r="F470" l="1"/>
  <c r="D470" s="1"/>
  <c r="E470" s="1"/>
  <c r="G470" s="1"/>
  <c r="P476"/>
  <c r="N477"/>
  <c r="J277"/>
  <c r="I277"/>
  <c r="K277" s="1"/>
  <c r="O476"/>
  <c r="O477" l="1"/>
  <c r="F471"/>
  <c r="D471" s="1"/>
  <c r="E471" s="1"/>
  <c r="G471" s="1"/>
  <c r="J278"/>
  <c r="I278"/>
  <c r="N478"/>
  <c r="P477"/>
  <c r="H277"/>
  <c r="H278" l="1"/>
  <c r="F472"/>
  <c r="D472" s="1"/>
  <c r="E472" s="1"/>
  <c r="G472" s="1"/>
  <c r="N479"/>
  <c r="P478"/>
  <c r="K278"/>
  <c r="O478"/>
  <c r="O479" l="1"/>
  <c r="F473"/>
  <c r="D473" s="1"/>
  <c r="E473" s="1"/>
  <c r="G473" s="1"/>
  <c r="N480"/>
  <c r="P479"/>
  <c r="J279"/>
  <c r="I279"/>
  <c r="H279" l="1"/>
  <c r="F474"/>
  <c r="D474" s="1"/>
  <c r="E474" s="1"/>
  <c r="G474" s="1"/>
  <c r="P480"/>
  <c r="N481"/>
  <c r="K279"/>
  <c r="O480"/>
  <c r="O481" l="1"/>
  <c r="F475"/>
  <c r="D475" s="1"/>
  <c r="E475" s="1"/>
  <c r="G475" s="1"/>
  <c r="J280"/>
  <c r="I280"/>
  <c r="N482"/>
  <c r="P481"/>
  <c r="H280" l="1"/>
  <c r="F476"/>
  <c r="D476" s="1"/>
  <c r="E476" s="1"/>
  <c r="G476" s="1"/>
  <c r="K280"/>
  <c r="P482"/>
  <c r="N483"/>
  <c r="O482"/>
  <c r="O483" s="1"/>
  <c r="F477" l="1"/>
  <c r="D477" s="1"/>
  <c r="E477" s="1"/>
  <c r="G477" s="1"/>
  <c r="P483"/>
  <c r="N484"/>
  <c r="O484" s="1"/>
  <c r="J281"/>
  <c r="I281"/>
  <c r="H281" l="1"/>
  <c r="F478"/>
  <c r="D478" s="1"/>
  <c r="E478" s="1"/>
  <c r="G478" s="1"/>
  <c r="K281"/>
  <c r="P484"/>
  <c r="N485"/>
  <c r="F479" l="1"/>
  <c r="D479" s="1"/>
  <c r="E479" s="1"/>
  <c r="G479" s="1"/>
  <c r="N486"/>
  <c r="P485"/>
  <c r="J282"/>
  <c r="I282"/>
  <c r="K282" s="1"/>
  <c r="O485"/>
  <c r="O486" s="1"/>
  <c r="F480" l="1"/>
  <c r="D480" s="1"/>
  <c r="E480" s="1"/>
  <c r="G480" s="1"/>
  <c r="J283"/>
  <c r="I283"/>
  <c r="K283" s="1"/>
  <c r="H282"/>
  <c r="P486"/>
  <c r="N487"/>
  <c r="O487" s="1"/>
  <c r="F481" l="1"/>
  <c r="D481" s="1"/>
  <c r="E481" s="1"/>
  <c r="G481" s="1"/>
  <c r="P487"/>
  <c r="N488"/>
  <c r="H283"/>
  <c r="J284"/>
  <c r="I284"/>
  <c r="F482" l="1"/>
  <c r="D482" s="1"/>
  <c r="E482" s="1"/>
  <c r="G482" s="1"/>
  <c r="H284"/>
  <c r="P488"/>
  <c r="N489"/>
  <c r="K284"/>
  <c r="O488"/>
  <c r="F483" l="1"/>
  <c r="D483" s="1"/>
  <c r="E483" s="1"/>
  <c r="G483" s="1"/>
  <c r="J285"/>
  <c r="I285"/>
  <c r="N490"/>
  <c r="P489"/>
  <c r="O489"/>
  <c r="H285" l="1"/>
  <c r="K285"/>
  <c r="I286" s="1"/>
  <c r="F484"/>
  <c r="D484" s="1"/>
  <c r="E484" s="1"/>
  <c r="G484" s="1"/>
  <c r="P490"/>
  <c r="N491"/>
  <c r="O490"/>
  <c r="J286" l="1"/>
  <c r="H286" s="1"/>
  <c r="K286"/>
  <c r="I287" s="1"/>
  <c r="K287" s="1"/>
  <c r="F485"/>
  <c r="D485" s="1"/>
  <c r="E485" s="1"/>
  <c r="G485" s="1"/>
  <c r="P491"/>
  <c r="N492"/>
  <c r="O491"/>
  <c r="J287" l="1"/>
  <c r="H287" s="1"/>
  <c r="F486"/>
  <c r="D486" s="1"/>
  <c r="E486" s="1"/>
  <c r="G486" s="1"/>
  <c r="J288"/>
  <c r="I288"/>
  <c r="O492"/>
  <c r="P492"/>
  <c r="N493"/>
  <c r="H288" l="1"/>
  <c r="F487"/>
  <c r="D487" s="1"/>
  <c r="E487" s="1"/>
  <c r="G487" s="1"/>
  <c r="O493"/>
  <c r="N494"/>
  <c r="P493"/>
  <c r="K288"/>
  <c r="O494" l="1"/>
  <c r="F488"/>
  <c r="D488" s="1"/>
  <c r="E488" s="1"/>
  <c r="G488" s="1"/>
  <c r="J289"/>
  <c r="I289"/>
  <c r="P494"/>
  <c r="N495"/>
  <c r="O495" s="1"/>
  <c r="H289" l="1"/>
  <c r="F489"/>
  <c r="D489" s="1"/>
  <c r="E489" s="1"/>
  <c r="G489" s="1"/>
  <c r="K289"/>
  <c r="P495"/>
  <c r="N496"/>
  <c r="F490" l="1"/>
  <c r="D490" s="1"/>
  <c r="E490" s="1"/>
  <c r="G490" s="1"/>
  <c r="P496"/>
  <c r="N497"/>
  <c r="J290"/>
  <c r="I290"/>
  <c r="K290" s="1"/>
  <c r="O496"/>
  <c r="O497" l="1"/>
  <c r="F491"/>
  <c r="D491" s="1"/>
  <c r="E491" s="1"/>
  <c r="G491" s="1"/>
  <c r="J291"/>
  <c r="I291"/>
  <c r="H290"/>
  <c r="N498"/>
  <c r="O498" s="1"/>
  <c r="P497"/>
  <c r="H291" l="1"/>
  <c r="F492"/>
  <c r="D492" s="1"/>
  <c r="E492" s="1"/>
  <c r="G492" s="1"/>
  <c r="P498"/>
  <c r="N499"/>
  <c r="O499" s="1"/>
  <c r="K291"/>
  <c r="F493" l="1"/>
  <c r="D493" s="1"/>
  <c r="E493" s="1"/>
  <c r="G493" s="1"/>
  <c r="J292"/>
  <c r="I292"/>
  <c r="P499"/>
  <c r="N500"/>
  <c r="H292" l="1"/>
  <c r="F494"/>
  <c r="D494" s="1"/>
  <c r="E494" s="1"/>
  <c r="G494" s="1"/>
  <c r="P500"/>
  <c r="N501"/>
  <c r="K292"/>
  <c r="O500"/>
  <c r="F495" l="1"/>
  <c r="D495" s="1"/>
  <c r="E495" s="1"/>
  <c r="G495" s="1"/>
  <c r="J293"/>
  <c r="I293"/>
  <c r="O501"/>
  <c r="N502"/>
  <c r="P501"/>
  <c r="H293" l="1"/>
  <c r="O502"/>
  <c r="F496"/>
  <c r="D496" s="1"/>
  <c r="E496" s="1"/>
  <c r="G496" s="1"/>
  <c r="P502"/>
  <c r="N503"/>
  <c r="K293"/>
  <c r="O503" l="1"/>
  <c r="F497"/>
  <c r="D497" s="1"/>
  <c r="E497" s="1"/>
  <c r="G497" s="1"/>
  <c r="J294"/>
  <c r="I294"/>
  <c r="P503"/>
  <c r="N504"/>
  <c r="H294" l="1"/>
  <c r="F498"/>
  <c r="D498" s="1"/>
  <c r="E498" s="1"/>
  <c r="G498" s="1"/>
  <c r="P504"/>
  <c r="N505"/>
  <c r="K294"/>
  <c r="O504"/>
  <c r="O505" l="1"/>
  <c r="F499"/>
  <c r="D499" s="1"/>
  <c r="E499" s="1"/>
  <c r="G499" s="1"/>
  <c r="J295"/>
  <c r="I295"/>
  <c r="N506"/>
  <c r="P505"/>
  <c r="H295" l="1"/>
  <c r="F500"/>
  <c r="D500" s="1"/>
  <c r="E500" s="1"/>
  <c r="G500" s="1"/>
  <c r="K295"/>
  <c r="P506"/>
  <c r="N507"/>
  <c r="O506"/>
  <c r="O507" l="1"/>
  <c r="F501"/>
  <c r="D501" s="1"/>
  <c r="E501" s="1"/>
  <c r="G501" s="1"/>
  <c r="J296"/>
  <c r="I296"/>
  <c r="P507"/>
  <c r="N508"/>
  <c r="O508" s="1"/>
  <c r="H296" l="1"/>
  <c r="F502"/>
  <c r="D502" s="1"/>
  <c r="E502" s="1"/>
  <c r="G502" s="1"/>
  <c r="P508"/>
  <c r="N509"/>
  <c r="K296"/>
  <c r="F503" l="1"/>
  <c r="D503" s="1"/>
  <c r="E503" s="1"/>
  <c r="G503" s="1"/>
  <c r="J297"/>
  <c r="I297"/>
  <c r="N510"/>
  <c r="P509"/>
  <c r="O509"/>
  <c r="H297" l="1"/>
  <c r="O510"/>
  <c r="F504"/>
  <c r="D504" s="1"/>
  <c r="E504" s="1"/>
  <c r="G504" s="1"/>
  <c r="P510"/>
  <c r="N511"/>
  <c r="K297"/>
  <c r="O511" l="1"/>
  <c r="F505"/>
  <c r="D505" s="1"/>
  <c r="E505" s="1"/>
  <c r="G505" s="1"/>
  <c r="J298"/>
  <c r="I298"/>
  <c r="P511"/>
  <c r="N512"/>
  <c r="H298" l="1"/>
  <c r="F506"/>
  <c r="D506" s="1"/>
  <c r="E506" s="1"/>
  <c r="G506" s="1"/>
  <c r="P512"/>
  <c r="N513"/>
  <c r="K298"/>
  <c r="O512"/>
  <c r="O513" l="1"/>
  <c r="F507"/>
  <c r="D507" s="1"/>
  <c r="E507" s="1"/>
  <c r="G507" s="1"/>
  <c r="J299"/>
  <c r="I299"/>
  <c r="N514"/>
  <c r="P513"/>
  <c r="H299" l="1"/>
  <c r="K299"/>
  <c r="J300" s="1"/>
  <c r="F508"/>
  <c r="D508" s="1"/>
  <c r="E508" s="1"/>
  <c r="G508" s="1"/>
  <c r="P514"/>
  <c r="N515"/>
  <c r="O514"/>
  <c r="I300" l="1"/>
  <c r="K300" s="1"/>
  <c r="I301" s="1"/>
  <c r="F509"/>
  <c r="D509" s="1"/>
  <c r="E509" s="1"/>
  <c r="G509" s="1"/>
  <c r="O515"/>
  <c r="P515"/>
  <c r="N516"/>
  <c r="J301" l="1"/>
  <c r="H301" s="1"/>
  <c r="H300"/>
  <c r="F510"/>
  <c r="D510" s="1"/>
  <c r="E510" s="1"/>
  <c r="G510" s="1"/>
  <c r="P516"/>
  <c r="N517"/>
  <c r="O516"/>
  <c r="O517" s="1"/>
  <c r="K301"/>
  <c r="F511" l="1"/>
  <c r="D511" s="1"/>
  <c r="E511" s="1"/>
  <c r="G511" s="1"/>
  <c r="J302"/>
  <c r="I302"/>
  <c r="N518"/>
  <c r="O518" s="1"/>
  <c r="P517"/>
  <c r="H302" l="1"/>
  <c r="F512"/>
  <c r="D512" s="1"/>
  <c r="E512" s="1"/>
  <c r="G512" s="1"/>
  <c r="P518"/>
  <c r="N519"/>
  <c r="O519" s="1"/>
  <c r="K302"/>
  <c r="F513" l="1"/>
  <c r="D513" s="1"/>
  <c r="E513" s="1"/>
  <c r="G513" s="1"/>
  <c r="J303"/>
  <c r="I303"/>
  <c r="P519"/>
  <c r="N520"/>
  <c r="H303" l="1"/>
  <c r="F514"/>
  <c r="D514" s="1"/>
  <c r="E514" s="1"/>
  <c r="G514" s="1"/>
  <c r="P520"/>
  <c r="N521"/>
  <c r="K303"/>
  <c r="O520"/>
  <c r="O521" l="1"/>
  <c r="F515"/>
  <c r="D515" s="1"/>
  <c r="E515" s="1"/>
  <c r="G515" s="1"/>
  <c r="J304"/>
  <c r="I304"/>
  <c r="P521"/>
  <c r="N522"/>
  <c r="O522" s="1"/>
  <c r="H304" l="1"/>
  <c r="F516"/>
  <c r="D516" s="1"/>
  <c r="E516" s="1"/>
  <c r="G516" s="1"/>
  <c r="K304"/>
  <c r="P522"/>
  <c r="N523"/>
  <c r="F517" l="1"/>
  <c r="D517" s="1"/>
  <c r="E517" s="1"/>
  <c r="G517" s="1"/>
  <c r="P523"/>
  <c r="N524"/>
  <c r="O523"/>
  <c r="J305"/>
  <c r="I305"/>
  <c r="K305" s="1"/>
  <c r="F518" l="1"/>
  <c r="D518" s="1"/>
  <c r="E518" s="1"/>
  <c r="G518" s="1"/>
  <c r="J306"/>
  <c r="I306"/>
  <c r="H305"/>
  <c r="O524"/>
  <c r="P524"/>
  <c r="N525"/>
  <c r="H306" l="1"/>
  <c r="F519"/>
  <c r="D519" s="1"/>
  <c r="E519" s="1"/>
  <c r="G519" s="1"/>
  <c r="K306"/>
  <c r="P525"/>
  <c r="N526"/>
  <c r="O525"/>
  <c r="O526" s="1"/>
  <c r="F520" l="1"/>
  <c r="D520" s="1"/>
  <c r="E520" s="1"/>
  <c r="G520" s="1"/>
  <c r="P526"/>
  <c r="N527"/>
  <c r="O527" s="1"/>
  <c r="J307"/>
  <c r="I307"/>
  <c r="H307" l="1"/>
  <c r="F521"/>
  <c r="D521" s="1"/>
  <c r="E521" s="1"/>
  <c r="G521" s="1"/>
  <c r="K307"/>
  <c r="P527"/>
  <c r="N528"/>
  <c r="F522" l="1"/>
  <c r="D522" s="1"/>
  <c r="E522" s="1"/>
  <c r="G522" s="1"/>
  <c r="P528"/>
  <c r="N529"/>
  <c r="J308"/>
  <c r="I308"/>
  <c r="K308" s="1"/>
  <c r="O528"/>
  <c r="O529" l="1"/>
  <c r="F523"/>
  <c r="D523" s="1"/>
  <c r="E523" s="1"/>
  <c r="G523" s="1"/>
  <c r="J309"/>
  <c r="I309"/>
  <c r="H308"/>
  <c r="P529"/>
  <c r="N530"/>
  <c r="O530" s="1"/>
  <c r="H309" l="1"/>
  <c r="K309"/>
  <c r="J310" s="1"/>
  <c r="F524"/>
  <c r="D524" s="1"/>
  <c r="E524" s="1"/>
  <c r="G524" s="1"/>
  <c r="P530"/>
  <c r="N531"/>
  <c r="I310" l="1"/>
  <c r="H310" s="1"/>
  <c r="F525"/>
  <c r="D525" s="1"/>
  <c r="E525" s="1"/>
  <c r="G525" s="1"/>
  <c r="P531"/>
  <c r="N532"/>
  <c r="O531"/>
  <c r="K310" l="1"/>
  <c r="J311" s="1"/>
  <c r="O532"/>
  <c r="F526"/>
  <c r="D526" s="1"/>
  <c r="E526" s="1"/>
  <c r="G526" s="1"/>
  <c r="P532"/>
  <c r="N533"/>
  <c r="O533" l="1"/>
  <c r="I311"/>
  <c r="H311" s="1"/>
  <c r="F527"/>
  <c r="D527" s="1"/>
  <c r="E527" s="1"/>
  <c r="G527" s="1"/>
  <c r="P533"/>
  <c r="N534"/>
  <c r="K311" l="1"/>
  <c r="I312" s="1"/>
  <c r="F528"/>
  <c r="D528" s="1"/>
  <c r="E528" s="1"/>
  <c r="G528" s="1"/>
  <c r="P534"/>
  <c r="N535"/>
  <c r="O534"/>
  <c r="J312" l="1"/>
  <c r="F529"/>
  <c r="D529" s="1"/>
  <c r="E529" s="1"/>
  <c r="G529" s="1"/>
  <c r="P535"/>
  <c r="N536"/>
  <c r="O535"/>
  <c r="H312"/>
  <c r="K312"/>
  <c r="O536" l="1"/>
  <c r="F530"/>
  <c r="D530" s="1"/>
  <c r="E530" s="1"/>
  <c r="G530" s="1"/>
  <c r="J313"/>
  <c r="I313"/>
  <c r="P536"/>
  <c r="N537"/>
  <c r="F531" l="1"/>
  <c r="D531" s="1"/>
  <c r="E531" s="1"/>
  <c r="G531" s="1"/>
  <c r="H313"/>
  <c r="P537"/>
  <c r="N538"/>
  <c r="K313"/>
  <c r="O537"/>
  <c r="F532" l="1"/>
  <c r="D532" s="1"/>
  <c r="E532" s="1"/>
  <c r="G532" s="1"/>
  <c r="J314"/>
  <c r="I314"/>
  <c r="P538"/>
  <c r="N539"/>
  <c r="O538"/>
  <c r="H314" l="1"/>
  <c r="K314"/>
  <c r="J315" s="1"/>
  <c r="F533"/>
  <c r="D533" s="1"/>
  <c r="E533" s="1"/>
  <c r="G533" s="1"/>
  <c r="P539"/>
  <c r="N540"/>
  <c r="O539"/>
  <c r="O540" s="1"/>
  <c r="I315" l="1"/>
  <c r="H315" s="1"/>
  <c r="F534"/>
  <c r="D534" s="1"/>
  <c r="E534" s="1"/>
  <c r="G534" s="1"/>
  <c r="N541"/>
  <c r="P540"/>
  <c r="K315" l="1"/>
  <c r="I316" s="1"/>
  <c r="K316" s="1"/>
  <c r="F535"/>
  <c r="D535" s="1"/>
  <c r="E535" s="1"/>
  <c r="G535" s="1"/>
  <c r="P541"/>
  <c r="N542"/>
  <c r="J316"/>
  <c r="O541"/>
  <c r="O542" l="1"/>
  <c r="F536"/>
  <c r="D536" s="1"/>
  <c r="E536" s="1"/>
  <c r="G536" s="1"/>
  <c r="J317"/>
  <c r="I317"/>
  <c r="P542"/>
  <c r="N543"/>
  <c r="O543" s="1"/>
  <c r="H316"/>
  <c r="H317" l="1"/>
  <c r="F537"/>
  <c r="D537" s="1"/>
  <c r="E537" s="1"/>
  <c r="G537" s="1"/>
  <c r="K317"/>
  <c r="P543"/>
  <c r="N544"/>
  <c r="F538" l="1"/>
  <c r="D538" s="1"/>
  <c r="E538" s="1"/>
  <c r="G538" s="1"/>
  <c r="N545"/>
  <c r="P544"/>
  <c r="O544"/>
  <c r="O545" s="1"/>
  <c r="J318"/>
  <c r="I318"/>
  <c r="H318" l="1"/>
  <c r="F539"/>
  <c r="D539" s="1"/>
  <c r="E539" s="1"/>
  <c r="G539" s="1"/>
  <c r="K318"/>
  <c r="N546"/>
  <c r="O546" s="1"/>
  <c r="P545"/>
  <c r="F540" l="1"/>
  <c r="D540" s="1"/>
  <c r="E540" s="1"/>
  <c r="G540" s="1"/>
  <c r="J319"/>
  <c r="I319"/>
  <c r="P546"/>
  <c r="N547"/>
  <c r="O547" s="1"/>
  <c r="H319" l="1"/>
  <c r="F541"/>
  <c r="D541" s="1"/>
  <c r="E541" s="1"/>
  <c r="G541" s="1"/>
  <c r="K319"/>
  <c r="P547"/>
  <c r="N548"/>
  <c r="F542" l="1"/>
  <c r="D542" s="1"/>
  <c r="E542" s="1"/>
  <c r="G542" s="1"/>
  <c r="N549"/>
  <c r="P548"/>
  <c r="J320"/>
  <c r="I320"/>
  <c r="K320" s="1"/>
  <c r="O548"/>
  <c r="O549" s="1"/>
  <c r="F543" l="1"/>
  <c r="D543" s="1"/>
  <c r="E543" s="1"/>
  <c r="G543" s="1"/>
  <c r="J321"/>
  <c r="I321"/>
  <c r="H320"/>
  <c r="P549"/>
  <c r="N550"/>
  <c r="H321" l="1"/>
  <c r="F544"/>
  <c r="D544" s="1"/>
  <c r="E544" s="1"/>
  <c r="G544" s="1"/>
  <c r="K321"/>
  <c r="P550"/>
  <c r="N551"/>
  <c r="O550"/>
  <c r="O551" s="1"/>
  <c r="F545" l="1"/>
  <c r="D545" s="1"/>
  <c r="E545" s="1"/>
  <c r="G545" s="1"/>
  <c r="J322"/>
  <c r="I322"/>
  <c r="P551"/>
  <c r="N552"/>
  <c r="O552" s="1"/>
  <c r="H322" l="1"/>
  <c r="F546"/>
  <c r="D546" s="1"/>
  <c r="E546" s="1"/>
  <c r="G546" s="1"/>
  <c r="K322"/>
  <c r="N553"/>
  <c r="P552"/>
  <c r="F547" l="1"/>
  <c r="D547" s="1"/>
  <c r="E547" s="1"/>
  <c r="G547" s="1"/>
  <c r="N554"/>
  <c r="P553"/>
  <c r="O553"/>
  <c r="O554" s="1"/>
  <c r="J323"/>
  <c r="I323"/>
  <c r="H323" l="1"/>
  <c r="F548"/>
  <c r="D548" s="1"/>
  <c r="E548" s="1"/>
  <c r="G548" s="1"/>
  <c r="K323"/>
  <c r="P554"/>
  <c r="N555"/>
  <c r="F549" l="1"/>
  <c r="D549" s="1"/>
  <c r="E549" s="1"/>
  <c r="G549" s="1"/>
  <c r="J324"/>
  <c r="I324"/>
  <c r="P555"/>
  <c r="N556"/>
  <c r="O555"/>
  <c r="F550" l="1"/>
  <c r="D550" s="1"/>
  <c r="E550" s="1"/>
  <c r="G550" s="1"/>
  <c r="N557"/>
  <c r="P556"/>
  <c r="O556"/>
  <c r="O557" s="1"/>
  <c r="H324"/>
  <c r="K324"/>
  <c r="F551" l="1"/>
  <c r="D551" s="1"/>
  <c r="E551" s="1"/>
  <c r="G551" s="1"/>
  <c r="P557"/>
  <c r="N558"/>
  <c r="O558" s="1"/>
  <c r="J325"/>
  <c r="I325"/>
  <c r="K325" s="1"/>
  <c r="F552" l="1"/>
  <c r="D552" s="1"/>
  <c r="E552" s="1"/>
  <c r="G552" s="1"/>
  <c r="J326"/>
  <c r="I326"/>
  <c r="H325"/>
  <c r="P558"/>
  <c r="N559"/>
  <c r="H326" l="1"/>
  <c r="F553"/>
  <c r="D553" s="1"/>
  <c r="E553" s="1"/>
  <c r="G553" s="1"/>
  <c r="P559"/>
  <c r="N560"/>
  <c r="O559"/>
  <c r="K326"/>
  <c r="O560" l="1"/>
  <c r="F554"/>
  <c r="D554" s="1"/>
  <c r="E554" s="1"/>
  <c r="G554" s="1"/>
  <c r="J327"/>
  <c r="I327"/>
  <c r="N561"/>
  <c r="O561" s="1"/>
  <c r="P560"/>
  <c r="H327" l="1"/>
  <c r="F555"/>
  <c r="D555" s="1"/>
  <c r="E555" s="1"/>
  <c r="G555" s="1"/>
  <c r="N562"/>
  <c r="O562" s="1"/>
  <c r="P561"/>
  <c r="K327"/>
  <c r="F556" l="1"/>
  <c r="D556" s="1"/>
  <c r="E556" s="1"/>
  <c r="G556" s="1"/>
  <c r="J328"/>
  <c r="I328"/>
  <c r="P562"/>
  <c r="N563"/>
  <c r="O563" s="1"/>
  <c r="H328" l="1"/>
  <c r="F557"/>
  <c r="D557" s="1"/>
  <c r="E557" s="1"/>
  <c r="G557" s="1"/>
  <c r="P563"/>
  <c r="N564"/>
  <c r="O564" s="1"/>
  <c r="K328"/>
  <c r="F558" l="1"/>
  <c r="D558" s="1"/>
  <c r="E558" s="1"/>
  <c r="G558" s="1"/>
  <c r="J329"/>
  <c r="I329"/>
  <c r="N565"/>
  <c r="O565" s="1"/>
  <c r="P564"/>
  <c r="H329" l="1"/>
  <c r="F559"/>
  <c r="D559" s="1"/>
  <c r="E559" s="1"/>
  <c r="G559" s="1"/>
  <c r="P565"/>
  <c r="N566"/>
  <c r="O566" s="1"/>
  <c r="K329"/>
  <c r="F560" l="1"/>
  <c r="D560" s="1"/>
  <c r="E560" s="1"/>
  <c r="G560" s="1"/>
  <c r="J330"/>
  <c r="I330"/>
  <c r="P566"/>
  <c r="N567"/>
  <c r="H330" l="1"/>
  <c r="F561"/>
  <c r="D561" s="1"/>
  <c r="E561" s="1"/>
  <c r="G561" s="1"/>
  <c r="P567"/>
  <c r="N568"/>
  <c r="K330"/>
  <c r="O567"/>
  <c r="O568" l="1"/>
  <c r="F562"/>
  <c r="D562" s="1"/>
  <c r="E562" s="1"/>
  <c r="G562" s="1"/>
  <c r="J331"/>
  <c r="I331"/>
  <c r="N569"/>
  <c r="P568"/>
  <c r="H331" l="1"/>
  <c r="F563"/>
  <c r="D563" s="1"/>
  <c r="E563" s="1"/>
  <c r="G563" s="1"/>
  <c r="N570"/>
  <c r="P569"/>
  <c r="O569"/>
  <c r="K331"/>
  <c r="F564" l="1"/>
  <c r="D564" s="1"/>
  <c r="E564" s="1"/>
  <c r="G564" s="1"/>
  <c r="J332"/>
  <c r="I332"/>
  <c r="P570"/>
  <c r="N571"/>
  <c r="O570"/>
  <c r="F565" l="1"/>
  <c r="D565" s="1"/>
  <c r="E565" s="1"/>
  <c r="G565" s="1"/>
  <c r="P571"/>
  <c r="N572"/>
  <c r="H332"/>
  <c r="O571"/>
  <c r="O572" s="1"/>
  <c r="K332"/>
  <c r="F566" l="1"/>
  <c r="D566" s="1"/>
  <c r="E566" s="1"/>
  <c r="G566" s="1"/>
  <c r="J333"/>
  <c r="I333"/>
  <c r="N573"/>
  <c r="O573" s="1"/>
  <c r="P572"/>
  <c r="H333" l="1"/>
  <c r="F567"/>
  <c r="D567" s="1"/>
  <c r="E567" s="1"/>
  <c r="G567" s="1"/>
  <c r="K333"/>
  <c r="P573"/>
  <c r="N574"/>
  <c r="F568" l="1"/>
  <c r="D568" s="1"/>
  <c r="E568" s="1"/>
  <c r="G568" s="1"/>
  <c r="P574"/>
  <c r="N575"/>
  <c r="O574"/>
  <c r="J334"/>
  <c r="I334"/>
  <c r="O575" l="1"/>
  <c r="H334"/>
  <c r="F569"/>
  <c r="D569" s="1"/>
  <c r="E569" s="1"/>
  <c r="G569" s="1"/>
  <c r="K334"/>
  <c r="N576"/>
  <c r="P575"/>
  <c r="F570" l="1"/>
  <c r="D570" s="1"/>
  <c r="E570" s="1"/>
  <c r="G570" s="1"/>
  <c r="J335"/>
  <c r="I335"/>
  <c r="K335" s="1"/>
  <c r="N577"/>
  <c r="P576"/>
  <c r="O576"/>
  <c r="O577" l="1"/>
  <c r="F571"/>
  <c r="D571" s="1"/>
  <c r="E571" s="1"/>
  <c r="G571" s="1"/>
  <c r="N578"/>
  <c r="P577"/>
  <c r="H335"/>
  <c r="J336"/>
  <c r="I336"/>
  <c r="O578" l="1"/>
  <c r="F572"/>
  <c r="D572" s="1"/>
  <c r="E572" s="1"/>
  <c r="G572" s="1"/>
  <c r="P578"/>
  <c r="N579"/>
  <c r="O579" s="1"/>
  <c r="H336"/>
  <c r="K336"/>
  <c r="F573" l="1"/>
  <c r="D573" s="1"/>
  <c r="E573" s="1"/>
  <c r="G573" s="1"/>
  <c r="J337"/>
  <c r="I337"/>
  <c r="P579"/>
  <c r="N580"/>
  <c r="O580" s="1"/>
  <c r="H337" l="1"/>
  <c r="F574"/>
  <c r="D574" s="1"/>
  <c r="E574" s="1"/>
  <c r="G574" s="1"/>
  <c r="P580"/>
  <c r="N581"/>
  <c r="O581" s="1"/>
  <c r="K337"/>
  <c r="F575" l="1"/>
  <c r="D575" s="1"/>
  <c r="E575" s="1"/>
  <c r="G575" s="1"/>
  <c r="J338"/>
  <c r="I338"/>
  <c r="P581"/>
  <c r="N582"/>
  <c r="O582" s="1"/>
  <c r="H338" l="1"/>
  <c r="K338"/>
  <c r="J339" s="1"/>
  <c r="F576"/>
  <c r="D576" s="1"/>
  <c r="E576" s="1"/>
  <c r="G576" s="1"/>
  <c r="P582"/>
  <c r="N583"/>
  <c r="I339" l="1"/>
  <c r="H339" s="1"/>
  <c r="F577"/>
  <c r="D577" s="1"/>
  <c r="E577" s="1"/>
  <c r="G577" s="1"/>
  <c r="P583"/>
  <c r="N584"/>
  <c r="O583"/>
  <c r="K339" l="1"/>
  <c r="O584"/>
  <c r="F578"/>
  <c r="D578" s="1"/>
  <c r="E578" s="1"/>
  <c r="G578" s="1"/>
  <c r="J340"/>
  <c r="I340"/>
  <c r="P584"/>
  <c r="N585"/>
  <c r="O585" s="1"/>
  <c r="H340" l="1"/>
  <c r="F579"/>
  <c r="D579" s="1"/>
  <c r="E579" s="1"/>
  <c r="G579" s="1"/>
  <c r="P585"/>
  <c r="N586"/>
  <c r="K340"/>
  <c r="F580" l="1"/>
  <c r="D580" s="1"/>
  <c r="E580" s="1"/>
  <c r="G580" s="1"/>
  <c r="P586"/>
  <c r="N587"/>
  <c r="J341"/>
  <c r="I341"/>
  <c r="O586"/>
  <c r="O587" l="1"/>
  <c r="H341"/>
  <c r="F581"/>
  <c r="D581" s="1"/>
  <c r="E581" s="1"/>
  <c r="G581" s="1"/>
  <c r="K341"/>
  <c r="P587"/>
  <c r="N588"/>
  <c r="F582" l="1"/>
  <c r="D582" s="1"/>
  <c r="E582" s="1"/>
  <c r="G582" s="1"/>
  <c r="P588"/>
  <c r="N589"/>
  <c r="J342"/>
  <c r="I342"/>
  <c r="K342" s="1"/>
  <c r="O588"/>
  <c r="O589" l="1"/>
  <c r="H342"/>
  <c r="F583"/>
  <c r="D583" s="1"/>
  <c r="E583" s="1"/>
  <c r="G583" s="1"/>
  <c r="J343"/>
  <c r="I343"/>
  <c r="P589"/>
  <c r="N590"/>
  <c r="O590" s="1"/>
  <c r="F584" l="1"/>
  <c r="D584" s="1"/>
  <c r="E584" s="1"/>
  <c r="G584" s="1"/>
  <c r="H343"/>
  <c r="P590"/>
  <c r="N591"/>
  <c r="O591" s="1"/>
  <c r="K343"/>
  <c r="F585" l="1"/>
  <c r="D585" s="1"/>
  <c r="E585" s="1"/>
  <c r="G585" s="1"/>
  <c r="J344"/>
  <c r="I344"/>
  <c r="P591"/>
  <c r="N592"/>
  <c r="H344" l="1"/>
  <c r="F586"/>
  <c r="D586" s="1"/>
  <c r="E586" s="1"/>
  <c r="G586" s="1"/>
  <c r="P592"/>
  <c r="N593"/>
  <c r="K344"/>
  <c r="O592"/>
  <c r="O593" l="1"/>
  <c r="F587"/>
  <c r="D587" s="1"/>
  <c r="E587" s="1"/>
  <c r="G587" s="1"/>
  <c r="J345"/>
  <c r="I345"/>
  <c r="P593"/>
  <c r="N594"/>
  <c r="O594" s="1"/>
  <c r="H345" l="1"/>
  <c r="F588"/>
  <c r="D588" s="1"/>
  <c r="E588" s="1"/>
  <c r="G588" s="1"/>
  <c r="K345"/>
  <c r="P594"/>
  <c r="N595"/>
  <c r="F589" l="1"/>
  <c r="D589" s="1"/>
  <c r="E589" s="1"/>
  <c r="G589" s="1"/>
  <c r="P595"/>
  <c r="N596"/>
  <c r="J346"/>
  <c r="I346"/>
  <c r="O595"/>
  <c r="H346" l="1"/>
  <c r="F590"/>
  <c r="D590" s="1"/>
  <c r="E590" s="1"/>
  <c r="G590" s="1"/>
  <c r="K346"/>
  <c r="O596"/>
  <c r="P596"/>
  <c r="N597"/>
  <c r="F591" l="1"/>
  <c r="D591" s="1"/>
  <c r="E591" s="1"/>
  <c r="G591" s="1"/>
  <c r="P597"/>
  <c r="N598"/>
  <c r="O597"/>
  <c r="J347"/>
  <c r="I347"/>
  <c r="K347" s="1"/>
  <c r="F592" l="1"/>
  <c r="D592" s="1"/>
  <c r="E592" s="1"/>
  <c r="G592" s="1"/>
  <c r="J348"/>
  <c r="I348"/>
  <c r="K348" s="1"/>
  <c r="O598"/>
  <c r="H347"/>
  <c r="P598"/>
  <c r="N599"/>
  <c r="F593" l="1"/>
  <c r="D593" s="1"/>
  <c r="E593" s="1"/>
  <c r="G593" s="1"/>
  <c r="O599"/>
  <c r="J349"/>
  <c r="I349"/>
  <c r="H348"/>
  <c r="P599"/>
  <c r="N600"/>
  <c r="F594" l="1"/>
  <c r="D594" s="1"/>
  <c r="E594" s="1"/>
  <c r="G594" s="1"/>
  <c r="O600"/>
  <c r="P600"/>
  <c r="N601"/>
  <c r="H349"/>
  <c r="K349"/>
  <c r="O601" l="1"/>
  <c r="F595"/>
  <c r="D595" s="1"/>
  <c r="E595" s="1"/>
  <c r="G595" s="1"/>
  <c r="J350"/>
  <c r="I350"/>
  <c r="P601"/>
  <c r="N602"/>
  <c r="O602" l="1"/>
  <c r="H350"/>
  <c r="F596"/>
  <c r="D596" s="1"/>
  <c r="E596" s="1"/>
  <c r="G596" s="1"/>
  <c r="K350"/>
  <c r="P602"/>
  <c r="N603"/>
  <c r="F597" l="1"/>
  <c r="D597" s="1"/>
  <c r="E597" s="1"/>
  <c r="G597" s="1"/>
  <c r="P603"/>
  <c r="N604"/>
  <c r="J351"/>
  <c r="I351"/>
  <c r="O603"/>
  <c r="H351" l="1"/>
  <c r="O604"/>
  <c r="F598"/>
  <c r="D598" s="1"/>
  <c r="E598" s="1"/>
  <c r="G598" s="1"/>
  <c r="K351"/>
  <c r="P604"/>
  <c r="N605"/>
  <c r="F599" l="1"/>
  <c r="D599" s="1"/>
  <c r="E599" s="1"/>
  <c r="G599" s="1"/>
  <c r="J352"/>
  <c r="I352"/>
  <c r="K352" s="1"/>
  <c r="P605"/>
  <c r="N606"/>
  <c r="O605"/>
  <c r="F600" l="1"/>
  <c r="D600" s="1"/>
  <c r="E600" s="1"/>
  <c r="G600" s="1"/>
  <c r="P606"/>
  <c r="N607"/>
  <c r="P607" s="1"/>
  <c r="J353"/>
  <c r="I353"/>
  <c r="O606"/>
  <c r="H352"/>
  <c r="H353" l="1"/>
  <c r="F601"/>
  <c r="D601" s="1"/>
  <c r="E601" s="1"/>
  <c r="G601" s="1"/>
  <c r="K353"/>
  <c r="O607"/>
  <c r="F602" l="1"/>
  <c r="D602" s="1"/>
  <c r="E602" s="1"/>
  <c r="G602" s="1"/>
  <c r="J354"/>
  <c r="I354"/>
  <c r="K354" s="1"/>
  <c r="F603" l="1"/>
  <c r="D603" s="1"/>
  <c r="E603" s="1"/>
  <c r="G603" s="1"/>
  <c r="J355"/>
  <c r="I355"/>
  <c r="K355" s="1"/>
  <c r="H354"/>
  <c r="J356" l="1"/>
  <c r="I356"/>
  <c r="F604"/>
  <c r="D604" s="1"/>
  <c r="E604" s="1"/>
  <c r="G604" s="1"/>
  <c r="H355"/>
  <c r="H356" l="1"/>
  <c r="F605"/>
  <c r="D605" s="1"/>
  <c r="E605" s="1"/>
  <c r="G605" s="1"/>
  <c r="K356"/>
  <c r="F606" l="1"/>
  <c r="D606" s="1"/>
  <c r="E606" s="1"/>
  <c r="G606" s="1"/>
  <c r="J357"/>
  <c r="I357"/>
  <c r="K357" s="1"/>
  <c r="F607" l="1"/>
  <c r="D607" s="1"/>
  <c r="E607" s="1"/>
  <c r="J358"/>
  <c r="I358"/>
  <c r="K358" s="1"/>
  <c r="H357"/>
  <c r="E7" l="1"/>
  <c r="G607"/>
  <c r="F608" s="1"/>
  <c r="F7" s="1"/>
  <c r="J359"/>
  <c r="I359"/>
  <c r="H358"/>
  <c r="D7" l="1"/>
  <c r="H359"/>
  <c r="K359"/>
  <c r="J360" l="1"/>
  <c r="I360"/>
  <c r="H360" l="1"/>
  <c r="K360"/>
  <c r="J361" l="1"/>
  <c r="I361"/>
  <c r="H361" l="1"/>
  <c r="K361"/>
  <c r="J362" l="1"/>
  <c r="I362"/>
  <c r="H362" l="1"/>
  <c r="K362"/>
  <c r="J363" l="1"/>
  <c r="I363"/>
  <c r="H363" l="1"/>
  <c r="K363"/>
  <c r="J364" l="1"/>
  <c r="I364"/>
  <c r="H364" l="1"/>
  <c r="K364"/>
  <c r="J365" l="1"/>
  <c r="I365"/>
  <c r="H365" l="1"/>
  <c r="K365"/>
  <c r="J366" l="1"/>
  <c r="I366"/>
  <c r="H366" l="1"/>
  <c r="K366"/>
  <c r="J367" l="1"/>
  <c r="I367"/>
  <c r="H367" l="1"/>
  <c r="K367"/>
  <c r="J368" l="1"/>
  <c r="I368"/>
  <c r="H368" l="1"/>
  <c r="K368"/>
  <c r="J369" l="1"/>
  <c r="I369"/>
  <c r="H369" l="1"/>
  <c r="K369"/>
  <c r="J370" l="1"/>
  <c r="I370"/>
  <c r="H370" l="1"/>
  <c r="K370"/>
  <c r="J371" l="1"/>
  <c r="I371"/>
  <c r="H371" l="1"/>
  <c r="K371"/>
  <c r="J372" l="1"/>
  <c r="I372"/>
  <c r="H372" l="1"/>
  <c r="K372"/>
  <c r="J373" l="1"/>
  <c r="I373"/>
  <c r="H373" l="1"/>
  <c r="K373"/>
  <c r="J374" l="1"/>
  <c r="I374"/>
  <c r="H374" l="1"/>
  <c r="K374"/>
  <c r="J375" l="1"/>
  <c r="I375"/>
  <c r="H375" l="1"/>
  <c r="K375"/>
  <c r="J376" l="1"/>
  <c r="I376"/>
  <c r="H376" l="1"/>
  <c r="K376"/>
  <c r="J377" l="1"/>
  <c r="I377"/>
  <c r="H377" l="1"/>
  <c r="K377"/>
  <c r="J378" l="1"/>
  <c r="I378"/>
  <c r="H378" l="1"/>
  <c r="K378"/>
  <c r="J379" l="1"/>
  <c r="I379"/>
  <c r="H379" l="1"/>
  <c r="K379"/>
  <c r="J380" l="1"/>
  <c r="I380"/>
  <c r="H380" l="1"/>
  <c r="K380"/>
  <c r="J381" l="1"/>
  <c r="I381"/>
  <c r="H381" l="1"/>
  <c r="K381"/>
  <c r="J382" l="1"/>
  <c r="I382"/>
  <c r="H382" l="1"/>
  <c r="K382"/>
  <c r="J383" l="1"/>
  <c r="I383"/>
  <c r="H383" l="1"/>
  <c r="K383"/>
  <c r="J384" l="1"/>
  <c r="I384"/>
  <c r="H384" l="1"/>
  <c r="K384"/>
  <c r="J385" l="1"/>
  <c r="I385"/>
  <c r="H385" l="1"/>
  <c r="K385"/>
  <c r="J386" l="1"/>
  <c r="I386"/>
  <c r="H386" l="1"/>
  <c r="K386"/>
  <c r="J387" l="1"/>
  <c r="I387"/>
  <c r="H387" l="1"/>
  <c r="K387"/>
  <c r="J388" l="1"/>
  <c r="I388"/>
  <c r="H388" l="1"/>
  <c r="K388"/>
  <c r="J389" l="1"/>
  <c r="I389"/>
  <c r="H389" l="1"/>
  <c r="K389"/>
  <c r="J390" l="1"/>
  <c r="I390"/>
  <c r="H390" l="1"/>
  <c r="K390"/>
  <c r="J391" l="1"/>
  <c r="I391"/>
  <c r="H391" l="1"/>
  <c r="K391"/>
  <c r="J392" l="1"/>
  <c r="I392"/>
  <c r="H392" l="1"/>
  <c r="K392"/>
  <c r="J393" l="1"/>
  <c r="I393"/>
  <c r="H393" l="1"/>
  <c r="K393"/>
  <c r="J394" l="1"/>
  <c r="I394"/>
  <c r="H394" l="1"/>
  <c r="K394"/>
  <c r="J395" l="1"/>
  <c r="I395"/>
  <c r="H395" l="1"/>
  <c r="K395"/>
  <c r="J396" l="1"/>
  <c r="I396"/>
  <c r="H396" l="1"/>
  <c r="K396"/>
  <c r="J397" l="1"/>
  <c r="I397"/>
  <c r="H397" l="1"/>
  <c r="K397"/>
  <c r="J398" l="1"/>
  <c r="I398"/>
  <c r="H398" l="1"/>
  <c r="K398"/>
  <c r="J399" l="1"/>
  <c r="I399"/>
  <c r="H399" l="1"/>
  <c r="K399"/>
  <c r="J400" l="1"/>
  <c r="I400"/>
  <c r="H400" l="1"/>
  <c r="K400"/>
  <c r="J401" l="1"/>
  <c r="I401"/>
  <c r="H401" l="1"/>
  <c r="K401"/>
  <c r="J402" l="1"/>
  <c r="I402"/>
  <c r="H402" l="1"/>
  <c r="K402"/>
  <c r="J403" l="1"/>
  <c r="I403"/>
  <c r="H403" l="1"/>
  <c r="K403"/>
  <c r="J404" l="1"/>
  <c r="I404"/>
  <c r="H404" l="1"/>
  <c r="K404"/>
  <c r="J405" l="1"/>
  <c r="I405"/>
  <c r="H405" l="1"/>
  <c r="K405"/>
  <c r="J406" l="1"/>
  <c r="I406"/>
  <c r="H406" l="1"/>
  <c r="K406"/>
  <c r="J407" l="1"/>
  <c r="I407"/>
  <c r="H407" l="1"/>
  <c r="K407"/>
  <c r="J408" l="1"/>
  <c r="I408"/>
  <c r="H408" l="1"/>
  <c r="K408"/>
  <c r="J409" l="1"/>
  <c r="I409"/>
  <c r="H409" l="1"/>
  <c r="K409"/>
  <c r="J410" l="1"/>
  <c r="I410"/>
  <c r="H410" l="1"/>
  <c r="K410"/>
  <c r="J411" l="1"/>
  <c r="I411"/>
  <c r="H411" l="1"/>
  <c r="K411"/>
  <c r="J412" l="1"/>
  <c r="I412"/>
  <c r="H412" l="1"/>
  <c r="K412"/>
  <c r="J413" l="1"/>
  <c r="I413"/>
  <c r="H413" l="1"/>
  <c r="K413"/>
  <c r="J414" l="1"/>
  <c r="I414"/>
  <c r="H414" l="1"/>
  <c r="K414"/>
  <c r="J415" l="1"/>
  <c r="I415"/>
  <c r="H415" l="1"/>
  <c r="K415"/>
  <c r="J416" l="1"/>
  <c r="I416"/>
  <c r="H416" l="1"/>
  <c r="K416"/>
  <c r="J417" l="1"/>
  <c r="I417"/>
  <c r="H417" l="1"/>
  <c r="K417"/>
  <c r="J418" l="1"/>
  <c r="I418"/>
  <c r="H418" l="1"/>
  <c r="K418"/>
  <c r="J419" l="1"/>
  <c r="I419"/>
  <c r="H419" l="1"/>
  <c r="K419"/>
  <c r="J420" l="1"/>
  <c r="I420"/>
  <c r="H420" l="1"/>
  <c r="K420"/>
  <c r="J421" l="1"/>
  <c r="I421"/>
  <c r="H421" l="1"/>
  <c r="K421"/>
  <c r="J422" l="1"/>
  <c r="I422"/>
  <c r="H422" l="1"/>
  <c r="K422"/>
  <c r="J423" l="1"/>
  <c r="I423"/>
  <c r="H423" l="1"/>
  <c r="K423"/>
  <c r="J424" l="1"/>
  <c r="I424"/>
  <c r="H424" l="1"/>
  <c r="K424"/>
  <c r="J425" l="1"/>
  <c r="I425"/>
  <c r="H425" l="1"/>
  <c r="K425"/>
  <c r="J426" l="1"/>
  <c r="I426"/>
  <c r="H426" l="1"/>
  <c r="K426"/>
  <c r="J427" l="1"/>
  <c r="I427"/>
  <c r="H427" l="1"/>
  <c r="K427"/>
  <c r="J428" l="1"/>
  <c r="I428"/>
  <c r="H428" l="1"/>
  <c r="K428"/>
  <c r="J429" l="1"/>
  <c r="I429"/>
  <c r="H429" l="1"/>
  <c r="K429"/>
  <c r="J430" l="1"/>
  <c r="I430"/>
  <c r="H430" l="1"/>
  <c r="K430"/>
  <c r="J431" l="1"/>
  <c r="I431"/>
  <c r="H431" l="1"/>
  <c r="K431"/>
  <c r="J432" l="1"/>
  <c r="I432"/>
  <c r="H432" l="1"/>
  <c r="K432"/>
  <c r="J433" l="1"/>
  <c r="I433"/>
  <c r="H433" l="1"/>
  <c r="K433"/>
  <c r="J434" l="1"/>
  <c r="I434"/>
  <c r="H434" l="1"/>
  <c r="K434"/>
  <c r="J435" l="1"/>
  <c r="I435"/>
  <c r="H435" l="1"/>
  <c r="K435"/>
  <c r="J436" l="1"/>
  <c r="I436"/>
  <c r="H436" l="1"/>
  <c r="K436"/>
  <c r="J437" l="1"/>
  <c r="I437"/>
  <c r="H437" l="1"/>
  <c r="K437"/>
  <c r="J438" l="1"/>
  <c r="I438"/>
  <c r="H438" l="1"/>
  <c r="K438"/>
  <c r="J439" l="1"/>
  <c r="I439"/>
  <c r="H439" l="1"/>
  <c r="K439"/>
  <c r="J440" l="1"/>
  <c r="I440"/>
  <c r="H440" l="1"/>
  <c r="K440"/>
  <c r="J441" l="1"/>
  <c r="I441"/>
  <c r="H441" l="1"/>
  <c r="K441"/>
  <c r="J442" l="1"/>
  <c r="I442"/>
  <c r="H442" l="1"/>
  <c r="K442"/>
  <c r="J443" l="1"/>
  <c r="I443"/>
  <c r="H443" l="1"/>
  <c r="K443"/>
  <c r="J444" l="1"/>
  <c r="I444"/>
  <c r="H444" l="1"/>
  <c r="K444"/>
  <c r="J445" l="1"/>
  <c r="I445"/>
  <c r="H445" l="1"/>
  <c r="K445"/>
  <c r="J446" l="1"/>
  <c r="I446"/>
  <c r="H446" l="1"/>
  <c r="K446"/>
  <c r="J447" l="1"/>
  <c r="I447"/>
  <c r="H447" l="1"/>
  <c r="K447"/>
  <c r="J448" l="1"/>
  <c r="I448"/>
  <c r="H448" l="1"/>
  <c r="K448"/>
  <c r="J449" l="1"/>
  <c r="I449"/>
  <c r="H449" l="1"/>
  <c r="K449"/>
  <c r="J450" l="1"/>
  <c r="I450"/>
  <c r="H450" l="1"/>
  <c r="K450"/>
  <c r="J451" l="1"/>
  <c r="I451"/>
  <c r="H451" l="1"/>
  <c r="K451"/>
  <c r="J452" l="1"/>
  <c r="I452"/>
  <c r="H452" l="1"/>
  <c r="K452"/>
  <c r="J453" l="1"/>
  <c r="I453"/>
  <c r="H453" l="1"/>
  <c r="K453"/>
  <c r="J454" l="1"/>
  <c r="I454"/>
  <c r="H454" l="1"/>
  <c r="K454"/>
  <c r="J455" l="1"/>
  <c r="I455"/>
  <c r="H455" l="1"/>
  <c r="K455"/>
  <c r="J456" l="1"/>
  <c r="I456"/>
  <c r="H456" l="1"/>
  <c r="K456"/>
  <c r="J457" l="1"/>
  <c r="I457"/>
  <c r="H457" l="1"/>
  <c r="K457"/>
  <c r="J458" l="1"/>
  <c r="I458"/>
  <c r="H458" l="1"/>
  <c r="K458"/>
  <c r="J459" l="1"/>
  <c r="I459"/>
  <c r="H459" l="1"/>
  <c r="K459"/>
  <c r="J460" l="1"/>
  <c r="I460"/>
  <c r="H460" l="1"/>
  <c r="K460"/>
  <c r="J461" l="1"/>
  <c r="I461"/>
  <c r="H461" l="1"/>
  <c r="K461"/>
  <c r="J462" l="1"/>
  <c r="I462"/>
  <c r="H462" l="1"/>
  <c r="K462"/>
  <c r="J463" l="1"/>
  <c r="I463"/>
  <c r="H463" l="1"/>
  <c r="K463"/>
  <c r="J464" l="1"/>
  <c r="I464"/>
  <c r="H464" l="1"/>
  <c r="K464"/>
  <c r="J465" l="1"/>
  <c r="I465"/>
  <c r="H465" l="1"/>
  <c r="K465"/>
  <c r="J466" l="1"/>
  <c r="I466"/>
  <c r="H466" l="1"/>
  <c r="K466"/>
  <c r="J467" l="1"/>
  <c r="I467"/>
  <c r="H467" l="1"/>
  <c r="K467"/>
  <c r="J468" l="1"/>
  <c r="I468"/>
  <c r="H468" l="1"/>
  <c r="K468"/>
  <c r="J469" l="1"/>
  <c r="I469"/>
  <c r="H469" l="1"/>
  <c r="K469"/>
  <c r="J470" l="1"/>
  <c r="I470"/>
  <c r="H470" l="1"/>
  <c r="K470"/>
  <c r="J471" l="1"/>
  <c r="I471"/>
  <c r="H471" l="1"/>
  <c r="K471"/>
  <c r="J472" l="1"/>
  <c r="I472"/>
  <c r="H472" l="1"/>
  <c r="K472"/>
  <c r="J473" l="1"/>
  <c r="I473"/>
  <c r="H473" l="1"/>
  <c r="K473"/>
  <c r="J474" l="1"/>
  <c r="I474"/>
  <c r="H474" l="1"/>
  <c r="K474"/>
  <c r="J475" l="1"/>
  <c r="I475"/>
  <c r="H475" l="1"/>
  <c r="K475"/>
  <c r="J476" l="1"/>
  <c r="I476"/>
  <c r="H476" l="1"/>
  <c r="K476"/>
  <c r="J477" l="1"/>
  <c r="I477"/>
  <c r="H477" l="1"/>
  <c r="K477"/>
  <c r="J478" l="1"/>
  <c r="I478"/>
  <c r="H478" l="1"/>
  <c r="K478"/>
  <c r="J479" l="1"/>
  <c r="I479"/>
  <c r="H479" l="1"/>
  <c r="K479"/>
  <c r="J480" l="1"/>
  <c r="I480"/>
  <c r="H480" l="1"/>
  <c r="K480"/>
  <c r="J481" l="1"/>
  <c r="I481"/>
  <c r="H481" l="1"/>
  <c r="K481"/>
  <c r="J482" l="1"/>
  <c r="I482"/>
  <c r="H482" l="1"/>
  <c r="K482"/>
  <c r="J483" l="1"/>
  <c r="I483"/>
  <c r="H483" l="1"/>
  <c r="K483"/>
  <c r="J484" l="1"/>
  <c r="I484"/>
  <c r="H484" l="1"/>
  <c r="K484"/>
  <c r="J485" l="1"/>
  <c r="I485"/>
  <c r="H485" l="1"/>
  <c r="K485"/>
  <c r="J486" l="1"/>
  <c r="I486"/>
  <c r="H486" l="1"/>
  <c r="K486"/>
  <c r="J487" l="1"/>
  <c r="I487"/>
  <c r="H487" l="1"/>
  <c r="K487"/>
  <c r="J488" l="1"/>
  <c r="I488"/>
  <c r="H488" l="1"/>
  <c r="K488"/>
  <c r="J489" l="1"/>
  <c r="I489"/>
  <c r="H489" l="1"/>
  <c r="K489"/>
  <c r="J490" l="1"/>
  <c r="I490"/>
  <c r="H490" l="1"/>
  <c r="K490"/>
  <c r="J491" l="1"/>
  <c r="I491"/>
  <c r="H491" l="1"/>
  <c r="K491"/>
  <c r="J492" l="1"/>
  <c r="I492"/>
  <c r="H492" l="1"/>
  <c r="K492"/>
  <c r="J493" l="1"/>
  <c r="I493"/>
  <c r="H493" l="1"/>
  <c r="K493"/>
  <c r="J494" l="1"/>
  <c r="I494"/>
  <c r="H494" l="1"/>
  <c r="K494"/>
  <c r="J495" l="1"/>
  <c r="I495"/>
  <c r="H495" l="1"/>
  <c r="K495"/>
  <c r="J496" l="1"/>
  <c r="I496"/>
  <c r="H496" l="1"/>
  <c r="K496"/>
  <c r="J497" l="1"/>
  <c r="I497"/>
  <c r="H497" l="1"/>
  <c r="K497"/>
  <c r="J498" l="1"/>
  <c r="I498"/>
  <c r="H498" l="1"/>
  <c r="K498"/>
  <c r="J499" l="1"/>
  <c r="I499"/>
  <c r="H499" l="1"/>
  <c r="K499"/>
  <c r="J500" l="1"/>
  <c r="I500"/>
  <c r="H500" l="1"/>
  <c r="K500"/>
  <c r="J501" l="1"/>
  <c r="I501"/>
  <c r="H501" l="1"/>
  <c r="K501"/>
  <c r="J502" l="1"/>
  <c r="I502"/>
  <c r="H502" l="1"/>
  <c r="K502"/>
  <c r="J503" l="1"/>
  <c r="I503"/>
  <c r="H503" l="1"/>
  <c r="K503"/>
  <c r="J504" l="1"/>
  <c r="I504"/>
  <c r="H504" l="1"/>
  <c r="K504"/>
  <c r="J505" l="1"/>
  <c r="I505"/>
  <c r="H505" l="1"/>
  <c r="K505"/>
  <c r="J506" l="1"/>
  <c r="I506"/>
  <c r="H506" l="1"/>
  <c r="K506"/>
  <c r="J507" l="1"/>
  <c r="I507"/>
  <c r="H507" l="1"/>
  <c r="K507"/>
  <c r="J508" l="1"/>
  <c r="I508"/>
  <c r="H508" l="1"/>
  <c r="K508"/>
  <c r="J509" l="1"/>
  <c r="I509"/>
  <c r="H509" l="1"/>
  <c r="K509"/>
  <c r="J510" l="1"/>
  <c r="I510"/>
  <c r="H510" l="1"/>
  <c r="K510"/>
  <c r="J511" l="1"/>
  <c r="I511"/>
  <c r="H511" l="1"/>
  <c r="K511"/>
  <c r="J512" l="1"/>
  <c r="I512"/>
  <c r="H512" l="1"/>
  <c r="K512"/>
  <c r="J513" l="1"/>
  <c r="I513"/>
  <c r="H513" l="1"/>
  <c r="K513"/>
  <c r="J514" l="1"/>
  <c r="I514"/>
  <c r="H514" l="1"/>
  <c r="K514"/>
  <c r="J515" l="1"/>
  <c r="I515"/>
  <c r="H515" l="1"/>
  <c r="K515"/>
  <c r="J516" l="1"/>
  <c r="I516"/>
  <c r="H516" l="1"/>
  <c r="K516"/>
  <c r="J517" l="1"/>
  <c r="I517"/>
  <c r="H517" l="1"/>
  <c r="K517"/>
  <c r="J518" l="1"/>
  <c r="I518"/>
  <c r="H518" l="1"/>
  <c r="K518"/>
  <c r="J519" l="1"/>
  <c r="I519"/>
  <c r="H519" l="1"/>
  <c r="K519"/>
  <c r="J520" l="1"/>
  <c r="I520"/>
  <c r="H520" l="1"/>
  <c r="K520"/>
  <c r="J521" l="1"/>
  <c r="I521"/>
  <c r="H521" l="1"/>
  <c r="K521"/>
  <c r="J522" l="1"/>
  <c r="I522"/>
  <c r="H522" l="1"/>
  <c r="K522"/>
  <c r="J523" l="1"/>
  <c r="I523"/>
  <c r="H523" l="1"/>
  <c r="K523"/>
  <c r="J524" l="1"/>
  <c r="I524"/>
  <c r="H524" l="1"/>
  <c r="K524"/>
  <c r="J525" l="1"/>
  <c r="I525"/>
  <c r="H525" l="1"/>
  <c r="K525"/>
  <c r="J526" l="1"/>
  <c r="I526"/>
  <c r="H526" l="1"/>
  <c r="K526"/>
  <c r="J527" l="1"/>
  <c r="I527"/>
  <c r="H527" l="1"/>
  <c r="K527"/>
  <c r="J528" l="1"/>
  <c r="I528"/>
  <c r="H528" l="1"/>
  <c r="K528"/>
  <c r="J529" l="1"/>
  <c r="I529"/>
  <c r="H529" l="1"/>
  <c r="K529"/>
  <c r="J530" l="1"/>
  <c r="I530"/>
  <c r="H530" l="1"/>
  <c r="K530"/>
  <c r="J531" l="1"/>
  <c r="I531"/>
  <c r="H531" l="1"/>
  <c r="K531"/>
  <c r="J532" l="1"/>
  <c r="I532"/>
  <c r="H532" l="1"/>
  <c r="K532"/>
  <c r="J533" l="1"/>
  <c r="I533"/>
  <c r="H533" l="1"/>
  <c r="K533"/>
  <c r="J534" l="1"/>
  <c r="I534"/>
  <c r="H534" l="1"/>
  <c r="K534"/>
  <c r="J535" l="1"/>
  <c r="I535"/>
  <c r="H535" l="1"/>
  <c r="K535"/>
  <c r="J536" l="1"/>
  <c r="I536"/>
  <c r="H536" l="1"/>
  <c r="K536"/>
  <c r="J537" l="1"/>
  <c r="I537"/>
  <c r="H537" l="1"/>
  <c r="K537"/>
  <c r="J538" l="1"/>
  <c r="I538"/>
  <c r="H538" l="1"/>
  <c r="K538"/>
  <c r="J539" l="1"/>
  <c r="I539"/>
  <c r="H539" l="1"/>
  <c r="K539"/>
  <c r="J540" l="1"/>
  <c r="I540"/>
  <c r="H540" l="1"/>
  <c r="K540"/>
  <c r="J541" l="1"/>
  <c r="I541"/>
  <c r="H541" l="1"/>
  <c r="K541"/>
  <c r="J542" l="1"/>
  <c r="I542"/>
  <c r="H542" l="1"/>
  <c r="K542"/>
  <c r="J543" l="1"/>
  <c r="I543"/>
  <c r="H543" l="1"/>
  <c r="K543"/>
  <c r="J544" l="1"/>
  <c r="I544"/>
  <c r="H544" l="1"/>
  <c r="K544"/>
  <c r="J545" l="1"/>
  <c r="I545"/>
  <c r="H545" l="1"/>
  <c r="K545"/>
  <c r="J546" l="1"/>
  <c r="I546"/>
  <c r="H546" l="1"/>
  <c r="K546"/>
  <c r="J547" l="1"/>
  <c r="I547"/>
  <c r="H547" l="1"/>
  <c r="K547"/>
  <c r="J548" l="1"/>
  <c r="I548"/>
  <c r="H548" l="1"/>
  <c r="K548"/>
  <c r="J549" l="1"/>
  <c r="I549"/>
  <c r="H549" l="1"/>
  <c r="K549"/>
  <c r="J550" l="1"/>
  <c r="I550"/>
  <c r="H550" l="1"/>
  <c r="K550"/>
  <c r="J551" l="1"/>
  <c r="I551"/>
  <c r="H551" l="1"/>
  <c r="K551"/>
  <c r="J552" l="1"/>
  <c r="I552"/>
  <c r="H552" l="1"/>
  <c r="K552"/>
  <c r="J553" l="1"/>
  <c r="I553"/>
  <c r="H553" l="1"/>
  <c r="K553"/>
  <c r="J554" l="1"/>
  <c r="I554"/>
  <c r="H554" l="1"/>
  <c r="K554"/>
  <c r="J555" l="1"/>
  <c r="I555"/>
  <c r="H555" l="1"/>
  <c r="K555"/>
  <c r="J556" l="1"/>
  <c r="I556"/>
  <c r="H556" l="1"/>
  <c r="K556"/>
  <c r="J557" l="1"/>
  <c r="I557"/>
  <c r="H557" l="1"/>
  <c r="K557"/>
  <c r="J558" l="1"/>
  <c r="I558"/>
  <c r="H558" l="1"/>
  <c r="K558"/>
  <c r="J559" l="1"/>
  <c r="I559"/>
  <c r="H559" l="1"/>
  <c r="K559"/>
  <c r="J560" l="1"/>
  <c r="I560"/>
  <c r="H560" l="1"/>
  <c r="K560"/>
  <c r="J561" l="1"/>
  <c r="I561"/>
  <c r="H561" l="1"/>
  <c r="K561"/>
  <c r="J562" l="1"/>
  <c r="I562"/>
  <c r="H562" l="1"/>
  <c r="K562"/>
  <c r="J563" l="1"/>
  <c r="I563"/>
  <c r="H563" l="1"/>
  <c r="K563"/>
  <c r="J564" l="1"/>
  <c r="I564"/>
  <c r="H564" l="1"/>
  <c r="K564"/>
  <c r="J565" l="1"/>
  <c r="I565"/>
  <c r="H565" l="1"/>
  <c r="K565"/>
  <c r="J566" l="1"/>
  <c r="I566"/>
  <c r="H566" l="1"/>
  <c r="K566"/>
  <c r="J567" l="1"/>
  <c r="I567"/>
  <c r="H567" l="1"/>
  <c r="K567"/>
  <c r="J568" l="1"/>
  <c r="I568"/>
  <c r="H568" l="1"/>
  <c r="K568"/>
  <c r="J569" l="1"/>
  <c r="I569"/>
  <c r="H569" l="1"/>
  <c r="K569"/>
  <c r="J570" l="1"/>
  <c r="I570"/>
  <c r="H570" l="1"/>
  <c r="K570"/>
  <c r="J571" l="1"/>
  <c r="I571"/>
  <c r="H571" l="1"/>
  <c r="K571"/>
  <c r="J572" l="1"/>
  <c r="I572"/>
  <c r="H572" l="1"/>
  <c r="K572"/>
  <c r="J573" l="1"/>
  <c r="I573"/>
  <c r="H573" l="1"/>
  <c r="K573"/>
  <c r="J574" l="1"/>
  <c r="I574"/>
  <c r="H574" l="1"/>
  <c r="K574"/>
  <c r="J575" l="1"/>
  <c r="I575"/>
  <c r="H575" l="1"/>
  <c r="K575"/>
  <c r="J576" l="1"/>
  <c r="I576"/>
  <c r="H576" l="1"/>
  <c r="K576"/>
  <c r="J577" l="1"/>
  <c r="I577"/>
  <c r="H577" l="1"/>
  <c r="K577"/>
  <c r="J578" l="1"/>
  <c r="I578"/>
  <c r="H578" l="1"/>
  <c r="K578"/>
  <c r="J579" l="1"/>
  <c r="I579"/>
  <c r="H579" l="1"/>
  <c r="K579"/>
  <c r="J580" l="1"/>
  <c r="I580"/>
  <c r="H580" l="1"/>
  <c r="K580"/>
  <c r="J581" l="1"/>
  <c r="I581"/>
  <c r="H581" l="1"/>
  <c r="K581"/>
  <c r="J582" l="1"/>
  <c r="I582"/>
  <c r="H582" l="1"/>
  <c r="K582"/>
  <c r="J583" l="1"/>
  <c r="I583"/>
  <c r="H583" l="1"/>
  <c r="K583"/>
  <c r="J584" l="1"/>
  <c r="I584"/>
  <c r="H584" l="1"/>
  <c r="K584"/>
  <c r="J585" l="1"/>
  <c r="I585"/>
  <c r="H585" l="1"/>
  <c r="K585"/>
  <c r="J586" l="1"/>
  <c r="I586"/>
  <c r="H586" l="1"/>
  <c r="K586"/>
  <c r="J587" l="1"/>
  <c r="I587"/>
  <c r="H587" l="1"/>
  <c r="K587"/>
  <c r="J588" l="1"/>
  <c r="I588"/>
  <c r="H588" l="1"/>
  <c r="K588"/>
  <c r="J589" l="1"/>
  <c r="I589"/>
  <c r="H589" l="1"/>
  <c r="K589"/>
  <c r="J590" l="1"/>
  <c r="I590"/>
  <c r="H590" l="1"/>
  <c r="K590"/>
  <c r="J591" l="1"/>
  <c r="I591"/>
  <c r="H591" l="1"/>
  <c r="K591"/>
  <c r="J592" l="1"/>
  <c r="I592"/>
  <c r="H592" l="1"/>
  <c r="K592"/>
  <c r="J593" l="1"/>
  <c r="I593"/>
  <c r="H593" l="1"/>
  <c r="K593"/>
  <c r="J594" l="1"/>
  <c r="I594"/>
  <c r="H594" l="1"/>
  <c r="K594"/>
  <c r="J595" l="1"/>
  <c r="I595"/>
  <c r="H595" l="1"/>
  <c r="K595"/>
  <c r="J596" l="1"/>
  <c r="I596"/>
  <c r="H596" l="1"/>
  <c r="K596"/>
  <c r="J597" l="1"/>
  <c r="I597"/>
  <c r="H597" l="1"/>
  <c r="K597"/>
  <c r="J598" l="1"/>
  <c r="I598"/>
  <c r="H598" l="1"/>
  <c r="K598"/>
  <c r="J599" l="1"/>
  <c r="I599"/>
  <c r="H599" l="1"/>
  <c r="K599"/>
  <c r="J600" l="1"/>
  <c r="I600"/>
  <c r="H600" l="1"/>
  <c r="K600"/>
  <c r="J601" l="1"/>
  <c r="I601"/>
  <c r="H601" l="1"/>
  <c r="K601"/>
  <c r="J602" l="1"/>
  <c r="I602"/>
  <c r="H602" l="1"/>
  <c r="K602"/>
  <c r="J603" l="1"/>
  <c r="I603"/>
  <c r="H603" l="1"/>
  <c r="K603"/>
  <c r="J604" l="1"/>
  <c r="I604"/>
  <c r="H604" l="1"/>
  <c r="K604"/>
  <c r="J605" l="1"/>
  <c r="I605"/>
  <c r="H605" l="1"/>
  <c r="K605"/>
  <c r="J606" l="1"/>
  <c r="I606"/>
  <c r="H606" l="1"/>
  <c r="K606"/>
  <c r="J607" l="1"/>
  <c r="J7" s="1"/>
  <c r="I607"/>
  <c r="H607" l="1"/>
  <c r="I7"/>
  <c r="H7" s="1"/>
  <c r="K607"/>
  <c r="E25" i="3" l="1"/>
  <c r="F49" s="1"/>
  <c r="E18" i="4"/>
  <c r="F24" i="3"/>
  <c r="F18" i="4" s="1"/>
  <c r="E23" i="3"/>
  <c r="G24" l="1"/>
  <c r="F23"/>
  <c r="G18" i="4" l="1"/>
  <c r="G49" i="3"/>
  <c r="H24"/>
  <c r="G23"/>
  <c r="H18" i="4" l="1"/>
  <c r="H49" i="3"/>
  <c r="H23"/>
  <c r="I24"/>
  <c r="E20" i="4"/>
  <c r="E49" i="3"/>
  <c r="E24" i="4" l="1"/>
  <c r="E28"/>
  <c r="F20"/>
  <c r="F21"/>
  <c r="I49" i="3"/>
  <c r="I18" i="4"/>
  <c r="I23" i="3"/>
  <c r="J24"/>
  <c r="E21" i="4"/>
  <c r="F28" l="1"/>
  <c r="F24"/>
  <c r="G20"/>
  <c r="J18"/>
  <c r="J49" i="3"/>
  <c r="K24"/>
  <c r="J23"/>
  <c r="G24" i="4" l="1"/>
  <c r="G28"/>
  <c r="G21"/>
  <c r="K49" i="3"/>
  <c r="K18" i="4"/>
  <c r="L24" i="3"/>
  <c r="K23"/>
  <c r="H21" i="4"/>
  <c r="H20"/>
  <c r="H24" l="1"/>
  <c r="H28"/>
  <c r="L18"/>
  <c r="L49" i="3"/>
  <c r="L23"/>
  <c r="M24"/>
  <c r="I20" i="4"/>
  <c r="I21"/>
  <c r="I24" l="1"/>
  <c r="I28"/>
  <c r="J20"/>
  <c r="J21"/>
  <c r="M49" i="3"/>
  <c r="M18" i="4"/>
  <c r="M23" i="3"/>
  <c r="N24"/>
  <c r="J24" i="4" l="1"/>
  <c r="J28"/>
  <c r="K20"/>
  <c r="K21"/>
  <c r="N18"/>
  <c r="N49" i="3"/>
  <c r="N23"/>
  <c r="O24"/>
  <c r="K24" i="4" l="1"/>
  <c r="K28"/>
  <c r="L20"/>
  <c r="O18"/>
  <c r="O49" i="3"/>
  <c r="O23"/>
  <c r="P24"/>
  <c r="L24" i="4" l="1"/>
  <c r="L28"/>
  <c r="M20"/>
  <c r="M21"/>
  <c r="P49" i="3"/>
  <c r="P18" i="4"/>
  <c r="P23" i="3"/>
  <c r="Q24"/>
  <c r="L21" i="4"/>
  <c r="M24" l="1"/>
  <c r="M28"/>
  <c r="N20"/>
  <c r="N21"/>
  <c r="AC18"/>
  <c r="Q49" i="3"/>
  <c r="Q18" i="4"/>
  <c r="Q23" i="3"/>
  <c r="R24"/>
  <c r="N24" i="4" l="1"/>
  <c r="N28"/>
  <c r="AD18"/>
  <c r="R49" i="3"/>
  <c r="R18" i="4"/>
  <c r="S24" i="3"/>
  <c r="R23"/>
  <c r="O21" i="4"/>
  <c r="O20"/>
  <c r="O24" l="1"/>
  <c r="O28"/>
  <c r="Q20"/>
  <c r="AE18"/>
  <c r="S49" i="3"/>
  <c r="S18" i="4"/>
  <c r="Q3" i="10" s="1"/>
  <c r="T24" i="3"/>
  <c r="S23"/>
  <c r="P20" i="4"/>
  <c r="P21"/>
  <c r="Q24" l="1"/>
  <c r="Q28"/>
  <c r="P24"/>
  <c r="P28"/>
  <c r="Q21"/>
  <c r="AF18"/>
  <c r="T49" i="3"/>
  <c r="T18" i="4"/>
  <c r="R3" i="10" s="1"/>
  <c r="U24" i="3"/>
  <c r="T23"/>
  <c r="R21" i="4" l="1"/>
  <c r="R20"/>
  <c r="S20"/>
  <c r="U49" i="3"/>
  <c r="U23"/>
  <c r="AG18" i="4"/>
  <c r="U18"/>
  <c r="S3" i="10" s="1"/>
  <c r="V24" i="3"/>
  <c r="S24" i="4" l="1"/>
  <c r="S28"/>
  <c r="R24"/>
  <c r="R28"/>
  <c r="S21"/>
  <c r="V49" i="3"/>
  <c r="AH18" i="4"/>
  <c r="V18"/>
  <c r="T3" i="10" s="1"/>
  <c r="W24" i="3"/>
  <c r="V23"/>
  <c r="T20" i="4" l="1"/>
  <c r="T21"/>
  <c r="W49" i="3"/>
  <c r="AI18" i="4"/>
  <c r="W18"/>
  <c r="U3" i="10" s="1"/>
  <c r="X24" i="3"/>
  <c r="W23"/>
  <c r="T24" i="4" l="1"/>
  <c r="T28"/>
  <c r="U20"/>
  <c r="U21"/>
  <c r="X49" i="3"/>
  <c r="X18" i="4"/>
  <c r="V3" i="10" s="1"/>
  <c r="AJ18" i="4"/>
  <c r="X23" i="3"/>
  <c r="Y24"/>
  <c r="U24" i="4" l="1"/>
  <c r="U28"/>
  <c r="V21"/>
  <c r="V20"/>
  <c r="AK18"/>
  <c r="Y18"/>
  <c r="W3" i="10" s="1"/>
  <c r="Y49" i="3"/>
  <c r="Y23"/>
  <c r="Z24"/>
  <c r="V24" i="4" l="1"/>
  <c r="V28"/>
  <c r="X20"/>
  <c r="W20"/>
  <c r="W21"/>
  <c r="AL18"/>
  <c r="Z49" i="3"/>
  <c r="Z23"/>
  <c r="AA24"/>
  <c r="Z18" i="4"/>
  <c r="X3" i="10" s="1"/>
  <c r="W24" i="4" l="1"/>
  <c r="W28"/>
  <c r="X24"/>
  <c r="X28"/>
  <c r="X21"/>
  <c r="AA49" i="3"/>
  <c r="AM18" i="4"/>
  <c r="AA18"/>
  <c r="Y3" i="10" s="1"/>
  <c r="AB24" i="3"/>
  <c r="AA23"/>
  <c r="Y20" i="4" l="1"/>
  <c r="Y21"/>
  <c r="AN18"/>
  <c r="AB49" i="3"/>
  <c r="AB18" i="4"/>
  <c r="AB23" i="3"/>
  <c r="AC24"/>
  <c r="Y24" i="4" l="1"/>
  <c r="Y28"/>
  <c r="Z20"/>
  <c r="Z21"/>
  <c r="AC49" i="3"/>
  <c r="AD24"/>
  <c r="AC23"/>
  <c r="Z24" i="4" l="1"/>
  <c r="Z28"/>
  <c r="AB20"/>
  <c r="AD49" i="3"/>
  <c r="AD23"/>
  <c r="AE24"/>
  <c r="AA20" i="4"/>
  <c r="AA21"/>
  <c r="AA24" l="1"/>
  <c r="AA28"/>
  <c r="AB24"/>
  <c r="AB28"/>
  <c r="AB21"/>
  <c r="AE49" i="3"/>
  <c r="AE23"/>
  <c r="AF24"/>
  <c r="AC20" i="4" l="1"/>
  <c r="AC21"/>
  <c r="AF49" i="3"/>
  <c r="AF23"/>
  <c r="AG24"/>
  <c r="AC24" i="4" l="1"/>
  <c r="AC28"/>
  <c r="AD21"/>
  <c r="AD20"/>
  <c r="AG49" i="3"/>
  <c r="AG23"/>
  <c r="AH24"/>
  <c r="AD28" i="4" l="1"/>
  <c r="AD24"/>
  <c r="AE20"/>
  <c r="AE21"/>
  <c r="AH49" i="3"/>
  <c r="AH23"/>
  <c r="AI24"/>
  <c r="AE24" i="4" l="1"/>
  <c r="AE28"/>
  <c r="AF21"/>
  <c r="AF20"/>
  <c r="AI49" i="3"/>
  <c r="AI23"/>
  <c r="AJ24"/>
  <c r="AF24" i="4" l="1"/>
  <c r="AF28"/>
  <c r="AH20"/>
  <c r="AG20"/>
  <c r="AG21"/>
  <c r="AJ49" i="3"/>
  <c r="AJ23"/>
  <c r="AK24"/>
  <c r="AG24" i="4" l="1"/>
  <c r="AG28"/>
  <c r="AH24"/>
  <c r="AH28"/>
  <c r="AH21"/>
  <c r="AK49" i="3"/>
  <c r="AL24"/>
  <c r="AK23"/>
  <c r="AL23" l="1"/>
  <c r="AM24"/>
  <c r="AL49"/>
  <c r="AI20" i="4"/>
  <c r="AI21"/>
  <c r="AI24" l="1"/>
  <c r="AI28"/>
  <c r="AM49" i="3"/>
  <c r="AM23"/>
  <c r="AN24"/>
  <c r="AJ21" i="4"/>
  <c r="AJ20"/>
  <c r="AJ24" l="1"/>
  <c r="AJ28"/>
  <c r="AK20"/>
  <c r="AK21"/>
  <c r="AN49" i="3"/>
  <c r="AN23"/>
  <c r="AK24" i="4" l="1"/>
  <c r="AK28"/>
  <c r="D44" i="3"/>
  <c r="AL21" i="4"/>
  <c r="AL20"/>
  <c r="AL24" l="1"/>
  <c r="AL28"/>
  <c r="D34" i="3"/>
  <c r="D39"/>
  <c r="AM20" i="4"/>
  <c r="AM21"/>
  <c r="AM24" l="1"/>
  <c r="AM28"/>
  <c r="AN20"/>
  <c r="G31" i="6"/>
  <c r="D50" i="3"/>
  <c r="AN24" i="4" l="1"/>
  <c r="D24" s="1"/>
  <c r="AN28"/>
  <c r="D25"/>
  <c r="D20"/>
  <c r="AN21"/>
  <c r="D46" i="3"/>
  <c r="G20" i="6"/>
  <c r="G19" s="1"/>
  <c r="D49" i="3"/>
  <c r="G29" i="6" l="1"/>
  <c r="AA40" i="4"/>
  <c r="O40"/>
  <c r="AN40"/>
  <c r="P40"/>
  <c r="R40"/>
  <c r="Z40"/>
  <c r="X40"/>
  <c r="AB40"/>
  <c r="Y40"/>
  <c r="N40"/>
  <c r="M40"/>
  <c r="AM40"/>
  <c r="AG40"/>
  <c r="AF40"/>
  <c r="S40"/>
  <c r="AJ40"/>
  <c r="Q40"/>
  <c r="AK40"/>
  <c r="AI40"/>
  <c r="AD40"/>
  <c r="AE40"/>
  <c r="T40"/>
  <c r="AL40"/>
  <c r="AC40"/>
  <c r="AH40"/>
  <c r="W40"/>
  <c r="V40"/>
  <c r="U40"/>
  <c r="V88" i="22"/>
  <c r="T102"/>
  <c r="R88"/>
  <c r="N88"/>
  <c r="O88"/>
  <c r="H56"/>
  <c r="U56"/>
  <c r="I88"/>
  <c r="AA88"/>
  <c r="P56"/>
  <c r="AG56"/>
  <c r="AA56"/>
  <c r="L88"/>
  <c r="X102"/>
  <c r="AD56"/>
  <c r="AF56"/>
  <c r="I56"/>
  <c r="O56"/>
  <c r="V56"/>
  <c r="AE56"/>
  <c r="G56"/>
  <c r="S102"/>
  <c r="T56"/>
  <c r="G88"/>
  <c r="N56"/>
  <c r="W102"/>
  <c r="F56"/>
  <c r="H88"/>
  <c r="U88"/>
  <c r="J56"/>
  <c r="W56"/>
  <c r="Z88"/>
  <c r="AF88"/>
  <c r="AC56"/>
  <c r="F88"/>
  <c r="AB88"/>
  <c r="K88"/>
  <c r="R102"/>
  <c r="V102"/>
  <c r="Y102"/>
  <c r="Y88"/>
  <c r="J88"/>
  <c r="P88"/>
  <c r="AE88"/>
  <c r="L56"/>
  <c r="Q102"/>
  <c r="S88"/>
  <c r="E88"/>
  <c r="T88"/>
  <c r="Q56"/>
  <c r="Z56"/>
  <c r="W88"/>
  <c r="Q88"/>
  <c r="AG88"/>
  <c r="AC88"/>
  <c r="Y56"/>
  <c r="M56"/>
  <c r="M88"/>
  <c r="R56"/>
  <c r="X88"/>
  <c r="AD88"/>
  <c r="U102"/>
  <c r="X56"/>
  <c r="AB56"/>
  <c r="K56"/>
  <c r="N67" s="1"/>
  <c r="E56"/>
  <c r="S56"/>
  <c r="L40" i="4" l="1"/>
  <c r="H40"/>
  <c r="J40"/>
  <c r="I40"/>
  <c r="G40"/>
  <c r="F40"/>
  <c r="K40"/>
  <c r="D28"/>
  <c r="E40"/>
  <c r="G26" i="6" l="1"/>
  <c r="G25" l="1"/>
  <c r="G37" s="1"/>
  <c r="S26" i="4"/>
  <c r="S22" s="1"/>
  <c r="S30" s="1"/>
  <c r="AK26"/>
  <c r="AK22" s="1"/>
  <c r="AK30" s="1"/>
  <c r="O26"/>
  <c r="O22" s="1"/>
  <c r="O30" s="1"/>
  <c r="AE26"/>
  <c r="AE22" s="1"/>
  <c r="AE30" s="1"/>
  <c r="R26"/>
  <c r="R22" s="1"/>
  <c r="R30" s="1"/>
  <c r="U26"/>
  <c r="U22" s="1"/>
  <c r="U30" s="1"/>
  <c r="AM26"/>
  <c r="AM22" s="1"/>
  <c r="AM30" s="1"/>
  <c r="M26"/>
  <c r="M22" s="1"/>
  <c r="M30" s="1"/>
  <c r="AI26"/>
  <c r="AI22" s="1"/>
  <c r="AI30" s="1"/>
  <c r="P26"/>
  <c r="P22" s="1"/>
  <c r="P30" s="1"/>
  <c r="T26"/>
  <c r="T22" s="1"/>
  <c r="T30" s="1"/>
  <c r="AH26"/>
  <c r="AH22" s="1"/>
  <c r="AH30" s="1"/>
  <c r="X26"/>
  <c r="X22" s="1"/>
  <c r="X30" s="1"/>
  <c r="AN26"/>
  <c r="AN22" s="1"/>
  <c r="AN30" s="1"/>
  <c r="AF26"/>
  <c r="AF22" s="1"/>
  <c r="AF30" s="1"/>
  <c r="AL26"/>
  <c r="AL22" s="1"/>
  <c r="AL30" s="1"/>
  <c r="Q26"/>
  <c r="Q22" s="1"/>
  <c r="Q30" s="1"/>
  <c r="AA26"/>
  <c r="AA22" s="1"/>
  <c r="AA30" s="1"/>
  <c r="AC26"/>
  <c r="AC22" s="1"/>
  <c r="AC30" s="1"/>
  <c r="AB26"/>
  <c r="AB22" s="1"/>
  <c r="AB30" s="1"/>
  <c r="W26"/>
  <c r="W22" s="1"/>
  <c r="W30" s="1"/>
  <c r="N26"/>
  <c r="N22" s="1"/>
  <c r="N30" s="1"/>
  <c r="AG26"/>
  <c r="AG22" s="1"/>
  <c r="AG30" s="1"/>
  <c r="AD26"/>
  <c r="AD22" s="1"/>
  <c r="AD30" s="1"/>
  <c r="V26"/>
  <c r="V22" s="1"/>
  <c r="V30" s="1"/>
  <c r="Z26"/>
  <c r="Z22" s="1"/>
  <c r="Z30" s="1"/>
  <c r="Y26"/>
  <c r="Y22" s="1"/>
  <c r="Y30" s="1"/>
  <c r="AJ26"/>
  <c r="AJ22" s="1"/>
  <c r="AJ30" s="1"/>
  <c r="J26"/>
  <c r="J22" s="1"/>
  <c r="J30" s="1"/>
  <c r="I26"/>
  <c r="I22" s="1"/>
  <c r="I30" s="1"/>
  <c r="K26"/>
  <c r="K22" s="1"/>
  <c r="K30" s="1"/>
  <c r="L26"/>
  <c r="L22" s="1"/>
  <c r="L30" s="1"/>
  <c r="H26"/>
  <c r="H22" s="1"/>
  <c r="H30" s="1"/>
  <c r="E26"/>
  <c r="G26"/>
  <c r="G22" s="1"/>
  <c r="G30" s="1"/>
  <c r="F26"/>
  <c r="F22" s="1"/>
  <c r="F30" s="1"/>
  <c r="F37" s="1"/>
  <c r="F34" l="1"/>
  <c r="D26"/>
  <c r="G34"/>
  <c r="G37"/>
  <c r="Y34"/>
  <c r="Y37"/>
  <c r="AC34"/>
  <c r="G38"/>
  <c r="AC37"/>
  <c r="G39"/>
  <c r="T37"/>
  <c r="T34"/>
  <c r="O34"/>
  <c r="O37"/>
  <c r="E22"/>
  <c r="E30" s="1"/>
  <c r="I34"/>
  <c r="I37"/>
  <c r="N34"/>
  <c r="N37"/>
  <c r="AN34"/>
  <c r="AN37"/>
  <c r="U37"/>
  <c r="U34"/>
  <c r="H37"/>
  <c r="H34"/>
  <c r="J34"/>
  <c r="J37"/>
  <c r="V34"/>
  <c r="V37"/>
  <c r="W37"/>
  <c r="W34"/>
  <c r="F38"/>
  <c r="Q34"/>
  <c r="AB38"/>
  <c r="Q37"/>
  <c r="F39"/>
  <c r="X34"/>
  <c r="X37"/>
  <c r="AI37"/>
  <c r="AI34"/>
  <c r="R37"/>
  <c r="R34"/>
  <c r="S34"/>
  <c r="S37"/>
  <c r="K34"/>
  <c r="K37"/>
  <c r="AG34"/>
  <c r="AG37"/>
  <c r="AF37"/>
  <c r="AF34"/>
  <c r="AM37"/>
  <c r="AM34"/>
  <c r="Z37"/>
  <c r="Z34"/>
  <c r="AA37"/>
  <c r="AA34"/>
  <c r="P34"/>
  <c r="P37"/>
  <c r="AK34"/>
  <c r="AK37"/>
  <c r="L34"/>
  <c r="L37"/>
  <c r="AJ37"/>
  <c r="AJ34"/>
  <c r="AD34"/>
  <c r="AD37"/>
  <c r="AB34"/>
  <c r="AB37"/>
  <c r="AL37"/>
  <c r="AL34"/>
  <c r="AH34"/>
  <c r="AH37"/>
  <c r="M34"/>
  <c r="M37"/>
  <c r="AE37"/>
  <c r="AE34"/>
  <c r="D22" l="1"/>
  <c r="H59" i="22" s="1"/>
  <c r="AC59"/>
  <c r="G91"/>
  <c r="AB59"/>
  <c r="AE91"/>
  <c r="H91"/>
  <c r="Y59"/>
  <c r="R59"/>
  <c r="K59"/>
  <c r="AB91"/>
  <c r="X104"/>
  <c r="F59"/>
  <c r="Y104"/>
  <c r="R104"/>
  <c r="AE59"/>
  <c r="W91"/>
  <c r="AA59"/>
  <c r="AG91"/>
  <c r="AF59"/>
  <c r="P59"/>
  <c r="W59"/>
  <c r="M91"/>
  <c r="AF91"/>
  <c r="AC91"/>
  <c r="Z91"/>
  <c r="Q59"/>
  <c r="W104"/>
  <c r="J91"/>
  <c r="V59"/>
  <c r="Q91"/>
  <c r="I91"/>
  <c r="AG59"/>
  <c r="I59"/>
  <c r="Z59"/>
  <c r="V91"/>
  <c r="S91"/>
  <c r="AD59"/>
  <c r="T59"/>
  <c r="V104"/>
  <c r="Q104"/>
  <c r="M59"/>
  <c r="T91"/>
  <c r="R91"/>
  <c r="AD91"/>
  <c r="X59"/>
  <c r="Y91"/>
  <c r="T104"/>
  <c r="X91"/>
  <c r="O91"/>
  <c r="P91"/>
  <c r="E59"/>
  <c r="AA91"/>
  <c r="L91"/>
  <c r="L59"/>
  <c r="S59"/>
  <c r="E91"/>
  <c r="K91"/>
  <c r="U59"/>
  <c r="S104"/>
  <c r="N91"/>
  <c r="U104"/>
  <c r="G59"/>
  <c r="O59"/>
  <c r="N59"/>
  <c r="J59"/>
  <c r="F91"/>
  <c r="U91"/>
  <c r="E31" i="4"/>
  <c r="E34"/>
  <c r="E37"/>
  <c r="P38"/>
  <c r="D30"/>
  <c r="F43"/>
  <c r="E39"/>
  <c r="E38"/>
  <c r="E43"/>
  <c r="F47" l="1"/>
  <c r="F49"/>
  <c r="E32"/>
  <c r="F3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E35"/>
  <c r="D35"/>
  <c r="F48" s="1"/>
  <c r="E33" l="1"/>
  <c r="F32"/>
  <c r="E36"/>
  <c r="F35"/>
  <c r="J62" i="22"/>
  <c r="S94"/>
  <c r="K62"/>
  <c r="H62"/>
  <c r="I62"/>
  <c r="Z62"/>
  <c r="O94"/>
  <c r="P62"/>
  <c r="AF62"/>
  <c r="AD62"/>
  <c r="Q62"/>
  <c r="V62"/>
  <c r="S62"/>
  <c r="AD94"/>
  <c r="T62"/>
  <c r="W94"/>
  <c r="Q94"/>
  <c r="AG94"/>
  <c r="H94"/>
  <c r="K94"/>
  <c r="Y106"/>
  <c r="Y94"/>
  <c r="AE62"/>
  <c r="N94"/>
  <c r="P94"/>
  <c r="M94"/>
  <c r="R94"/>
  <c r="G62"/>
  <c r="U94"/>
  <c r="E94"/>
  <c r="R62"/>
  <c r="X94"/>
  <c r="AC94"/>
  <c r="V94"/>
  <c r="AA62"/>
  <c r="S106"/>
  <c r="AF94"/>
  <c r="V106"/>
  <c r="N62"/>
  <c r="F94"/>
  <c r="L62"/>
  <c r="AE94"/>
  <c r="T94"/>
  <c r="T106"/>
  <c r="I94"/>
  <c r="AG62"/>
  <c r="G94"/>
  <c r="X62"/>
  <c r="X106"/>
  <c r="Y62"/>
  <c r="U62"/>
  <c r="M62"/>
  <c r="W106"/>
  <c r="J94"/>
  <c r="F62"/>
  <c r="W62"/>
  <c r="U106"/>
  <c r="AA94"/>
  <c r="Q106"/>
  <c r="Z94"/>
  <c r="O62"/>
  <c r="E62"/>
  <c r="L94"/>
  <c r="AB62"/>
  <c r="AC62"/>
  <c r="AB94"/>
  <c r="R106"/>
  <c r="G35" i="4" l="1"/>
  <c r="F36"/>
  <c r="F33"/>
  <c r="G32"/>
  <c r="G33" l="1"/>
  <c r="H32"/>
  <c r="G36"/>
  <c r="H35"/>
  <c r="I35" l="1"/>
  <c r="H36"/>
  <c r="H33"/>
  <c r="I32"/>
  <c r="I33" l="1"/>
  <c r="J32"/>
  <c r="I36"/>
  <c r="J35"/>
  <c r="K35" l="1"/>
  <c r="J36"/>
  <c r="J33"/>
  <c r="K32"/>
  <c r="L32" l="1"/>
  <c r="K33"/>
  <c r="K36"/>
  <c r="L35"/>
  <c r="L36" l="1"/>
  <c r="M35"/>
  <c r="L33"/>
  <c r="M32"/>
  <c r="N32" l="1"/>
  <c r="M33"/>
  <c r="M36"/>
  <c r="N35"/>
  <c r="N36" l="1"/>
  <c r="O35"/>
  <c r="O32"/>
  <c r="N33"/>
  <c r="P32" l="1"/>
  <c r="O33"/>
  <c r="O36"/>
  <c r="P35"/>
  <c r="Q35" l="1"/>
  <c r="P36"/>
  <c r="P33"/>
  <c r="Q32"/>
  <c r="Q33" l="1"/>
  <c r="R32"/>
  <c r="Q36"/>
  <c r="R35"/>
  <c r="R36" l="1"/>
  <c r="S35"/>
  <c r="R33"/>
  <c r="S32"/>
  <c r="S33" l="1"/>
  <c r="T32"/>
  <c r="S36"/>
  <c r="T35"/>
  <c r="T36" l="1"/>
  <c r="U35"/>
  <c r="U32"/>
  <c r="T33"/>
  <c r="U33" l="1"/>
  <c r="V32"/>
  <c r="U36"/>
  <c r="V35"/>
  <c r="V36" l="1"/>
  <c r="W35"/>
  <c r="W32"/>
  <c r="V33"/>
  <c r="X32" l="1"/>
  <c r="W33"/>
  <c r="W36"/>
  <c r="X35"/>
  <c r="Y35" l="1"/>
  <c r="X36"/>
  <c r="Y32"/>
  <c r="X33"/>
  <c r="Z32" l="1"/>
  <c r="Y33"/>
  <c r="Z35"/>
  <c r="Y36"/>
  <c r="AA35" l="1"/>
  <c r="Z36"/>
  <c r="Z33"/>
  <c r="AA32"/>
  <c r="AA33" l="1"/>
  <c r="AB32"/>
  <c r="AA36"/>
  <c r="AB35"/>
  <c r="AC35" l="1"/>
  <c r="AB36"/>
  <c r="AB33"/>
  <c r="AC32"/>
  <c r="AD32" l="1"/>
  <c r="AC33"/>
  <c r="AC36"/>
  <c r="AD35"/>
  <c r="AE35" l="1"/>
  <c r="AD36"/>
  <c r="AE32"/>
  <c r="AD33"/>
  <c r="AE33" l="1"/>
  <c r="AF32"/>
  <c r="AE36"/>
  <c r="AF35"/>
  <c r="AF36" l="1"/>
  <c r="AG35"/>
  <c r="AF33"/>
  <c r="AG32"/>
  <c r="AG33" l="1"/>
  <c r="AH32"/>
  <c r="AG36"/>
  <c r="AH35"/>
  <c r="AI35" l="1"/>
  <c r="AH36"/>
  <c r="AI32"/>
  <c r="AH33"/>
  <c r="AI33" l="1"/>
  <c r="AJ32"/>
  <c r="AJ35"/>
  <c r="AI36"/>
  <c r="AJ36" l="1"/>
  <c r="AK35"/>
  <c r="AK32"/>
  <c r="AJ33"/>
  <c r="AL32" l="1"/>
  <c r="AK33"/>
  <c r="AK36"/>
  <c r="AL35"/>
  <c r="AL33" l="1"/>
  <c r="AM32"/>
  <c r="AM35"/>
  <c r="AL36"/>
  <c r="AN32" l="1"/>
  <c r="AN33" s="1"/>
  <c r="AM33"/>
  <c r="AN35"/>
  <c r="AN36" s="1"/>
  <c r="AM36"/>
  <c r="F46" l="1"/>
  <c r="F44"/>
</calcChain>
</file>

<file path=xl/sharedStrings.xml><?xml version="1.0" encoding="utf-8"?>
<sst xmlns="http://schemas.openxmlformats.org/spreadsheetml/2006/main" count="246" uniqueCount="209">
  <si>
    <t>Значение</t>
  </si>
  <si>
    <t>Инвестзатраты</t>
  </si>
  <si>
    <t>Окупаемость (в месяцах)</t>
  </si>
  <si>
    <t>Итого</t>
  </si>
  <si>
    <t>редактируемая ячейка</t>
  </si>
  <si>
    <t>автоматическое заполнение</t>
  </si>
  <si>
    <t>РЕЗУЛЬТАТ</t>
  </si>
  <si>
    <t>руб.</t>
  </si>
  <si>
    <t>Средняя чистая ежемесячная прибыль</t>
  </si>
  <si>
    <t>Денежный поток</t>
  </si>
  <si>
    <t>Чистая прибыль</t>
  </si>
  <si>
    <t>Чистая прибыль нарастающим итогом</t>
  </si>
  <si>
    <t>ВОРОНКА ПРОДАЖ</t>
  </si>
  <si>
    <t xml:space="preserve">Этап </t>
  </si>
  <si>
    <t>ЕЖЕМЕСЯЧНЫЕ ЗАТРАТЫ, рублей</t>
  </si>
  <si>
    <t>Фонд оплаты труда (ФОТ)</t>
  </si>
  <si>
    <t>Выручка</t>
  </si>
  <si>
    <t>ПОЛУЧЕНИЕ ПРИБЫЛИ, рублей</t>
  </si>
  <si>
    <t>Затраты, в том числе:</t>
  </si>
  <si>
    <t>Помещение</t>
  </si>
  <si>
    <t>Заработная плата сотрудников</t>
  </si>
  <si>
    <t>Дополнительные статьи затрат</t>
  </si>
  <si>
    <t>Наименование этапа</t>
  </si>
  <si>
    <t>Затраты на налогообложение</t>
  </si>
  <si>
    <t>Период окупаемости (Pay-Back Period, PB), месяц</t>
  </si>
  <si>
    <t>Ставка дисконтирования, %</t>
  </si>
  <si>
    <t>Чистая текущая стоимость проекта (Net Present Value, NPV), рублей</t>
  </si>
  <si>
    <t>Индекс прибыльности (Profitability Index, PI)</t>
  </si>
  <si>
    <t>Внутренняя норма рентабельности (Internal Rate of Return, IRR), %</t>
  </si>
  <si>
    <t>Дисконтированный срок окупаемости</t>
  </si>
  <si>
    <t>Сумма кредита</t>
  </si>
  <si>
    <t>Сумма займа</t>
  </si>
  <si>
    <t>Ставка, % годовых</t>
  </si>
  <si>
    <t>Срок кредита, месяцы</t>
  </si>
  <si>
    <t>Дата выдачи кредита</t>
  </si>
  <si>
    <t>Номер платежа</t>
  </si>
  <si>
    <t>Месяц, год</t>
  </si>
  <si>
    <t>Дата платежа</t>
  </si>
  <si>
    <t>Аннуитетный платеж</t>
  </si>
  <si>
    <t>Дифференцированный платеж</t>
  </si>
  <si>
    <t>Досрочный возврат</t>
  </si>
  <si>
    <t>Сумма</t>
  </si>
  <si>
    <t>В погашение долга</t>
  </si>
  <si>
    <t>В погашение процентов</t>
  </si>
  <si>
    <t>Остаток долга после платежа</t>
  </si>
  <si>
    <t>Уменьшение платежа</t>
  </si>
  <si>
    <t>Уменьшение срока</t>
  </si>
  <si>
    <t>Всего:</t>
  </si>
  <si>
    <t>Ставка по кредиту</t>
  </si>
  <si>
    <t>%</t>
  </si>
  <si>
    <t>Всего</t>
  </si>
  <si>
    <t>Платежи по кредиту</t>
  </si>
  <si>
    <t>Ежемесячные выплаты по кредиту</t>
  </si>
  <si>
    <t>Затраты на ФОТ</t>
  </si>
  <si>
    <t>Параметр</t>
  </si>
  <si>
    <t>Месяц</t>
  </si>
  <si>
    <t>Это значение ставки дисконтирования, при которой суммарная приведенная стоимость доходов от осуществляемых инвестиций равна стоимости этих инвестиций. Данный показатель определяет максимальную стоимость привлекаемого капитала, при которой инвестиционный проект остается выгодным. Внутренняя норма рентабельности определяет ставку дисконтирования при которой NPV=0, или другими словами затраты на проект равны его доходам.</t>
  </si>
  <si>
    <t xml:space="preserve">Внутренняя норма рентабельности (Internal Rate of Return, IRR) </t>
  </si>
  <si>
    <t>Отношение суммы дисконтированных денежных потоков к первоначальным инвестициям.</t>
  </si>
  <si>
    <t>Период времени, необходимый для того, чтобы доходы, генерируемые инвестициями, покрыли затраты на инвестиции. При этом временная ценность денег не учитывается. Этот показатель определяют последовательным расчетом чистого дохода для каждого периода проекта. Точка, в которой чистый доход примет положительное значение, будет являться точкой окупаемости.</t>
  </si>
  <si>
    <t xml:space="preserve">Период окупаемости (Pay-Back Period, PB) </t>
  </si>
  <si>
    <t>Период времени, необходимый для возврата вложенных инвестиций в проект за счет чистого денежного потока с учетом ставки дисконтирования. Как определяется ставка дисконтирования указано выше.</t>
  </si>
  <si>
    <t>Дисконтированный срок окупаемости (Discounted Pay-Back Period, DPB)</t>
  </si>
  <si>
    <t xml:space="preserve">NPV (Net Present Value), чистый дисконтированный доход </t>
  </si>
  <si>
    <t>Ставка дисконтирования</t>
  </si>
  <si>
    <t>Конверсия</t>
  </si>
  <si>
    <t xml:space="preserve">Появилась потребность </t>
  </si>
  <si>
    <t>Выберите Ваш франчайзинговый пакет</t>
  </si>
  <si>
    <t>Инфляция</t>
  </si>
  <si>
    <t>Штатная единица</t>
  </si>
  <si>
    <t>Налогообложение</t>
  </si>
  <si>
    <t>Чистая текущая стоимость проекта (NPV)</t>
  </si>
  <si>
    <t>Затраты на аренду помещения</t>
  </si>
  <si>
    <t>январь</t>
  </si>
  <si>
    <t>февраль</t>
  </si>
  <si>
    <t>март</t>
  </si>
  <si>
    <t>апрель</t>
  </si>
  <si>
    <t>май</t>
  </si>
  <si>
    <t>июнь</t>
  </si>
  <si>
    <t>июль</t>
  </si>
  <si>
    <t>август</t>
  </si>
  <si>
    <t>сентябрь</t>
  </si>
  <si>
    <t>октябрь</t>
  </si>
  <si>
    <t>ноябрь</t>
  </si>
  <si>
    <t>декабрь</t>
  </si>
  <si>
    <t>Ставка аренды за квадратный метр</t>
  </si>
  <si>
    <t>Премия за риск</t>
  </si>
  <si>
    <t>Ставка дисконтирования  рассчитана по формуле d = Emin + I + Ri, 
где Emin – ставка рефинансирования, данные ЦБ РФ,  I – ставка инфляции, Ri–надбавка за риск – значение для проекта, направленного на увеличение объема продаж существующей продукции.
Ставка дисконтирования применяется в инвестиционном анализе, бизнес-планировании и оценке бизнеса. Именно этот показатель существенно влияет как на принятие решения об инвестировании средств, так и на оценку компании или отдельного вида бизнеса.
Дисконтирование – это определение стоимости денежных потоков, относящихся к будущим периодам (будущих доходов на настоящий момент). Для правильной оценки будущих доходов нужно знать прогнозные значения выручки, расходов, инвестиций, структуру капитала, остаточную стоимость имущества, а также ставку дисконтирования, которая используется для оценки эффективности вложений. С экономической точки зрения ставка дисконтирования – это норма доходности на вложенный капитал, требуемая инвестором. Иначе говоря, с ее помощью можно определить сумму, которую инвестору придется заплатить сегодня за право получить предполагаемый доход в будущем. Поэтому от значения ставки дисконтирования зависит принятие ключевых решений, в том числе при выборе инвестиционного проекта.</t>
  </si>
  <si>
    <t>Единица</t>
  </si>
  <si>
    <t>Название пакета</t>
  </si>
  <si>
    <t xml:space="preserve">Расчет ставки дисконтирования </t>
  </si>
  <si>
    <t>Дата актуализации</t>
  </si>
  <si>
    <t>* Укажите стоимость аренды квадратного метра в рассматриваемом Вами помещении</t>
  </si>
  <si>
    <t>* При необходимости</t>
  </si>
  <si>
    <r>
      <t>Сумма предполагаемого потока платежей, приведенная к текущей (на настоящий момент времени) стоимости. Операция приведения к текущей стоимости называется </t>
    </r>
    <r>
      <rPr>
        <sz val="14"/>
        <rFont val="Times New Roman"/>
        <family val="1"/>
        <charset val="204"/>
      </rPr>
      <t>дисконтированием</t>
    </r>
    <r>
      <rPr>
        <sz val="14"/>
        <color rgb="FF000000"/>
        <rFont val="Times New Roman"/>
        <family val="1"/>
        <charset val="204"/>
      </rPr>
      <t>. Приведение к текущей стоимости выполняется по заданной </t>
    </r>
    <r>
      <rPr>
        <sz val="14"/>
        <rFont val="Times New Roman"/>
        <family val="1"/>
        <charset val="204"/>
      </rPr>
      <t>ставке дисконтирования</t>
    </r>
    <r>
      <rPr>
        <sz val="14"/>
        <color rgb="FF000000"/>
        <rFont val="Times New Roman"/>
        <family val="1"/>
        <charset val="204"/>
      </rPr>
      <t>.
Чаще всего NPV рассчитывается для потоков будущих платежей, например, при оценке экономической эффективности инвестиций.
Необходимость расчета NPV отражает тот экономический факт, что сумма денег, которой мы располагаем в настоящий момент, имеет большую реальную стоимость, чем равная ей сумма, которая появится в будущем. Это обусловлено несколькими причинами, например:
·       Влияние инфляции, уменьшение реальной покупательной способности денег;
·       Имеющаяся сумма может быть инвестирована и принести прибыль;
·       Риск неполучения предполагаемой суммы.</t>
    </r>
  </si>
  <si>
    <t>Описание</t>
  </si>
  <si>
    <t>ОПИСАНИЕ ФРАНЧАЙЗИНГОВЫХ ПАКЕТОВ</t>
  </si>
  <si>
    <t>* Совокупный уровень инвестиций рассчитан на основе опыта франчайзера</t>
  </si>
  <si>
    <t>кв. м</t>
  </si>
  <si>
    <t>Оклад</t>
  </si>
  <si>
    <t>мес.</t>
  </si>
  <si>
    <t>ПРОДАЖИ, рублей</t>
  </si>
  <si>
    <t>Месяц начала работы</t>
  </si>
  <si>
    <t>Затраты на регистрацию юридического лица - выбрать:</t>
  </si>
  <si>
    <t>1. Открытие ООО</t>
  </si>
  <si>
    <t>Нет</t>
  </si>
  <si>
    <t>2. Открытие ИП</t>
  </si>
  <si>
    <t>Прочие затраты</t>
  </si>
  <si>
    <t>Выручка в день</t>
  </si>
  <si>
    <t>Цветовые обозначения:</t>
  </si>
  <si>
    <t>Выберите систему налогообложения</t>
  </si>
  <si>
    <t>% с продаж</t>
  </si>
  <si>
    <t>Валовая прибыль</t>
  </si>
  <si>
    <t>Ед. изм.</t>
  </si>
  <si>
    <t>ЗАТРАТЫ НА ОРГАНИЗАЦИЮ БИЗНЕСА, рублей</t>
  </si>
  <si>
    <t>Срок кредита</t>
  </si>
  <si>
    <t>Себестоимость общая</t>
  </si>
  <si>
    <t>Дисконтированный срок окупаемости (Discounted Pay-Back Period, DPB), мес.</t>
  </si>
  <si>
    <t>Рекомендации другим клиентам</t>
  </si>
  <si>
    <t>Общая выручка</t>
  </si>
  <si>
    <t>Количество дней</t>
  </si>
  <si>
    <t>Выручка по данной позиции</t>
  </si>
  <si>
    <t>Сумма денежных потоков с 1-го по 4-й год</t>
  </si>
  <si>
    <t>Сумма денежных потоков за 1 - 4 год со ставкой дисконта</t>
  </si>
  <si>
    <t>* Финансовая модель прогнозирует 3 календарных года с момента запуска проекта</t>
  </si>
  <si>
    <t>На 1 кв. м</t>
  </si>
  <si>
    <t>Затраты на открытие</t>
  </si>
  <si>
    <t>Рекламная кампания открытия</t>
  </si>
  <si>
    <t>Прочие расходы</t>
  </si>
  <si>
    <t>Самостоятельно</t>
  </si>
  <si>
    <t xml:space="preserve">На данной вкладке необходимо выбрать оптимальный для Вас франчайзинговый пакет, систему налогообложения, предполагаемый месяц старта работы, ввести площадь помещения, на базе которого планируется осуществлять деятельность, ставку арендной платы за 1 кв. м, актуальную для Вашего города, и сумму заемных средств, если присутствует необходимость. </t>
  </si>
  <si>
    <t>От введенных на данной вкладке данных будут зависеть объем первоначальных инвестиций, уровень ежемесячных затрат, а также уровень выручки и период окупаемости.</t>
  </si>
  <si>
    <t>Календарный план наглядно отражает все основные этапы, которые необходимо пройти, прежде чем Вы запустите собственный бизнес по франшизе. На диаграмме Вы можете увидеть последовательность действий, количество дней, которые понадобятся на выполнение каждого этапа, и общий срок выполнения работ.</t>
  </si>
  <si>
    <t>Инвестиции - это та сумма, которую необходимо вложить на первоначальном этапе для запуска бизнеса.</t>
  </si>
  <si>
    <t xml:space="preserve">На данной вкладке отражены среднемесячные затраты, которые будут сопровождать Вас каждый месяц. </t>
  </si>
  <si>
    <t xml:space="preserve">Вы можете изменить количество персонала в зависимости от планируемого объема работы или с учетом распределения должностных обязанностей. </t>
  </si>
  <si>
    <t>На данной вкладке Вы наглядно увидите, из каких денежных потоков складывается Ваша выручка.</t>
  </si>
  <si>
    <t>В таблице консолидированы все данные по первоначальным инвестициям, ежемесячной выручке и затратам. Значения в данной таблице пересчитываются при изменении каких-либо показателей на предыдущих вкладках.</t>
  </si>
  <si>
    <t>На втором графике Вы можете увидеть ежемесячный финансовый результат предпринимательской деятельности нарастающим итогом с учетом первоначальных инвестиций, всех поступлений и затрат, а также момент выхода на окупаемость.</t>
  </si>
  <si>
    <t xml:space="preserve">2. Подготовка и оформление помещения (ремонт, отделка и т. п.) </t>
  </si>
  <si>
    <t xml:space="preserve">Затраты могут быть постоянными (например, аренда, зарплата сотрудников с фиксированным окладом, интернет, сотовая связь) и переменными (например, оплата сотрудникам % с продаж). </t>
  </si>
  <si>
    <t>Инвестиции могут варьироваться в зависимости от выбранного Вами франчайзингового пакета, а также от цен, которые актуальны конкретно для Вашего города/региона (например, ставка арендной платы, стоимость оборудования и строительных материалов и пр.).</t>
  </si>
  <si>
    <t>Вы можете рассчитать индивидуально для себя стоимость ремонта, указав стоимость в расчете на 1 кв. м.</t>
  </si>
  <si>
    <t>* Следующие показатели составляются индивидуально для каждого пользователя финансовой модели в зависимости от региона развития проекта и вносятся в редактируемые ячейки:</t>
  </si>
  <si>
    <t>Администратор</t>
  </si>
  <si>
    <t>В таблице учтены особенности структуры продаж, присущие данному виду бизнеса, а также темп выхода на плановые показатели.</t>
  </si>
  <si>
    <t>Ключевая ставка</t>
  </si>
  <si>
    <t>Подготовка помещения, закупка оборудования</t>
  </si>
  <si>
    <t>Доходы-расходы (для УСН 15%)</t>
  </si>
  <si>
    <t xml:space="preserve">Связь и интернет </t>
  </si>
  <si>
    <t>Темп роста выручки (продаж)</t>
  </si>
  <si>
    <t>Паушальный взнос, тыс. руб.</t>
  </si>
  <si>
    <t>1. Прочие расходы</t>
  </si>
  <si>
    <t>Хозяйственные и канцелярские расходы</t>
  </si>
  <si>
    <t>Закуп оборотного капитала</t>
  </si>
  <si>
    <t>Паушальный взнос за пакет</t>
  </si>
  <si>
    <t>1. Аренда помещения</t>
  </si>
  <si>
    <t xml:space="preserve">Бухгалтерские услуги (сдача отчетности) </t>
  </si>
  <si>
    <t xml:space="preserve">Роялти </t>
  </si>
  <si>
    <t>Реклама и маркетинг</t>
  </si>
  <si>
    <t>от выручки</t>
  </si>
  <si>
    <t>Финансовая модель франчайзингового предложения Маркета здоровья "НЕФРИТ" - это гибкий инструмент, который позволит рассчитать объем инвестиций на запуск франшизы конкретно в Вашем городе, оценить уровень ежемесячных затрат, предполагаемую выручку и период окупаемости.</t>
  </si>
  <si>
    <t>СВОЯ СЕТЬ</t>
  </si>
  <si>
    <t>ПОД КЛЮЧ</t>
  </si>
  <si>
    <t>БЫСТРЫЙ СТАРТ</t>
  </si>
  <si>
    <t>Франчайзи открывает 1 Маркет здоровья «НЕФРИТ» в городе с поддержкой Головной компании</t>
  </si>
  <si>
    <t>Франчайзи открывает 3 Маркета здоровья «НЕФРИТ» в городе с поддержкой Головной компании в течение 1-го года (срок и график открытия могут определяться индивидуально)</t>
  </si>
  <si>
    <t>Команда открытия франчайзера выезжает к франчайзи, открывает 1 Маркет здоровья «НЕФРИТ», запускает в работу и передает готовый бизнес в течение 1-ой недели после открытия</t>
  </si>
  <si>
    <t>▪ ставка аренды за кв. м;
▪ объем первоначальной закупки товаров и оборудования;
▪ система оплаты труда персонала;
▪ дополнительные расходы на организацию бизнеса;
▪ и другие, выделенные цветом.</t>
  </si>
  <si>
    <t>Количество Маркетов здоровья</t>
  </si>
  <si>
    <t>Закупка демонстрационных товаров и на продажу</t>
  </si>
  <si>
    <t>Стоимость ед.</t>
  </si>
  <si>
    <t xml:space="preserve">Закуп оборудования </t>
  </si>
  <si>
    <t>2. Тумбы</t>
  </si>
  <si>
    <t>3. Ресепшен</t>
  </si>
  <si>
    <t>4. МФУ</t>
  </si>
  <si>
    <t>5. Компьютер</t>
  </si>
  <si>
    <t>6. Стулья</t>
  </si>
  <si>
    <t>7. Вывеска</t>
  </si>
  <si>
    <t xml:space="preserve">8. Канцтовары, сетевые фильтры </t>
  </si>
  <si>
    <t xml:space="preserve">10. Телевизор, техника, микрофон </t>
  </si>
  <si>
    <t>1. Демо-кресла/шезлонги</t>
  </si>
  <si>
    <t>Количество 
на 1-ну точку</t>
  </si>
  <si>
    <t>Количество 
всего</t>
  </si>
  <si>
    <t>На 1-ну точку:</t>
  </si>
  <si>
    <t>2. Затраты на выезд команды ГО и обучение персонала</t>
  </si>
  <si>
    <t>Управляющий</t>
  </si>
  <si>
    <t>Продавец-консультант</t>
  </si>
  <si>
    <t>С 1-ой точки:</t>
  </si>
  <si>
    <t xml:space="preserve">Сервис и ремонт оборудования </t>
  </si>
  <si>
    <t>Узнали о магазине</t>
  </si>
  <si>
    <t>Совершили покупку</t>
  </si>
  <si>
    <t>Повторная покупка</t>
  </si>
  <si>
    <t>Выручка зависит от цен на товар и уровня спроса, который проверен Головной организацией на собственном опыте.</t>
  </si>
  <si>
    <t>Jm-back</t>
  </si>
  <si>
    <t xml:space="preserve">M-leg </t>
  </si>
  <si>
    <t xml:space="preserve">J-mat </t>
  </si>
  <si>
    <t>Себестоимость товара - указать наценку:</t>
  </si>
  <si>
    <t>Стоимость единицы</t>
  </si>
  <si>
    <t>Количество продаж в месяц 1-ой точки</t>
  </si>
  <si>
    <t>Количество продаж в месяц - указать для 1-ой точки</t>
  </si>
  <si>
    <t>Выручка 1-ой точки</t>
  </si>
  <si>
    <t>Средняя выручка 1-ой точки в день</t>
  </si>
  <si>
    <t>Роялти</t>
  </si>
  <si>
    <t>Гибкость отражает зависимость функционирования бизнес-модели от изменения таких факторов, как цена на товар и его себестоимость. Вы можете увидеть, как перестроится уровень выручки, затрат и NPV (чистого дисконтированного дохода) в ответ на изменение данных факторов, и оценить свои риски.</t>
  </si>
  <si>
    <t>Роялти, тыс. руб. 
(с 1-ой точки)</t>
  </si>
  <si>
    <t xml:space="preserve">На первом графике наглядно отражена динамика чистой прибыли, т. е. выручка за вычетом всех затрат с учетом темпа роста. </t>
  </si>
  <si>
    <t>ЕНВД</t>
  </si>
  <si>
    <t>9. Баннеры (внутреннее оформление)</t>
  </si>
</sst>
</file>

<file path=xl/styles.xml><?xml version="1.0" encoding="utf-8"?>
<styleSheet xmlns="http://schemas.openxmlformats.org/spreadsheetml/2006/main">
  <numFmts count="9">
    <numFmt numFmtId="164" formatCode="_-* #,##0.00_р_._-;\-* #,##0.00_р_._-;_-* &quot;-&quot;??_р_._-;_-@_-"/>
    <numFmt numFmtId="165" formatCode="_-* #,##0_р_._-;\-* #,##0_р_._-;_-* &quot;-&quot;??_р_._-;_-@_-"/>
    <numFmt numFmtId="166" formatCode="_-* #,##0.000_р_._-;\-* #,##0.000_р_._-;_-* &quot;-&quot;??_р_._-;_-@_-"/>
    <numFmt numFmtId="167" formatCode="#,##0.0"/>
    <numFmt numFmtId="168" formatCode="0.0%"/>
    <numFmt numFmtId="169" formatCode="_-* #,##0.000000_р_._-;\-* #,##0.000000_р_._-;_-* &quot;-&quot;??_р_._-;_-@_-"/>
    <numFmt numFmtId="170" formatCode="[$-F800]dddd\,\ mmmm\ dd\,\ yyyy"/>
    <numFmt numFmtId="171" formatCode="#,##0_ ;\-#,##0\ "/>
    <numFmt numFmtId="172" formatCode="[$-419]mmmm;@"/>
  </numFmts>
  <fonts count="58">
    <font>
      <sz val="11"/>
      <color rgb="FF000000"/>
      <name val="Calibri"/>
    </font>
    <font>
      <sz val="11"/>
      <color rgb="FF000000"/>
      <name val="Calibri"/>
      <family val="2"/>
      <charset val="204"/>
    </font>
    <font>
      <sz val="11"/>
      <color rgb="FF000000"/>
      <name val="Times New Roman"/>
      <family val="1"/>
      <charset val="204"/>
    </font>
    <font>
      <b/>
      <sz val="16"/>
      <color rgb="FF000000"/>
      <name val="Times New Roman"/>
      <family val="1"/>
      <charset val="204"/>
    </font>
    <font>
      <sz val="11"/>
      <name val="Times New Roman"/>
      <family val="1"/>
      <charset val="204"/>
    </font>
    <font>
      <b/>
      <sz val="11"/>
      <color rgb="FF000000"/>
      <name val="Times New Roman"/>
      <family val="1"/>
      <charset val="204"/>
    </font>
    <font>
      <b/>
      <sz val="11"/>
      <name val="Times New Roman"/>
      <family val="1"/>
      <charset val="204"/>
    </font>
    <font>
      <sz val="11"/>
      <color theme="1"/>
      <name val="Times New Roman"/>
      <family val="1"/>
      <charset val="204"/>
    </font>
    <font>
      <i/>
      <sz val="11"/>
      <name val="Times New Roman"/>
      <family val="1"/>
      <charset val="204"/>
    </font>
    <font>
      <sz val="11"/>
      <color rgb="FF000000"/>
      <name val="Calibri"/>
      <family val="2"/>
      <charset val="204"/>
    </font>
    <font>
      <b/>
      <sz val="10"/>
      <name val="Times New Roman"/>
      <family val="1"/>
      <charset val="204"/>
    </font>
    <font>
      <sz val="10"/>
      <color indexed="9"/>
      <name val="Times New Roman"/>
      <family val="1"/>
      <charset val="204"/>
    </font>
    <font>
      <sz val="10"/>
      <color indexed="22"/>
      <name val="Times New Roman"/>
      <family val="1"/>
      <charset val="204"/>
    </font>
    <font>
      <b/>
      <sz val="10"/>
      <color indexed="22"/>
      <name val="Times New Roman"/>
      <family val="1"/>
      <charset val="204"/>
    </font>
    <font>
      <b/>
      <sz val="16"/>
      <color theme="0"/>
      <name val="Times New Roman"/>
      <family val="1"/>
      <charset val="204"/>
    </font>
    <font>
      <sz val="12"/>
      <color rgb="FF000000"/>
      <name val="Calibri"/>
      <family val="2"/>
      <charset val="204"/>
    </font>
    <font>
      <sz val="12"/>
      <color rgb="FF000000"/>
      <name val="Times New Roman"/>
      <family val="1"/>
      <charset val="204"/>
    </font>
    <font>
      <sz val="12"/>
      <name val="Times New Roman"/>
      <family val="1"/>
      <charset val="204"/>
    </font>
    <font>
      <b/>
      <sz val="12"/>
      <color rgb="FF000000"/>
      <name val="Calibri"/>
      <family val="2"/>
      <charset val="204"/>
    </font>
    <font>
      <sz val="11"/>
      <color rgb="FF474747"/>
      <name val="Open Sans"/>
      <family val="2"/>
      <charset val="204"/>
    </font>
    <font>
      <sz val="11"/>
      <color theme="0"/>
      <name val="Times New Roman"/>
      <family val="1"/>
      <charset val="204"/>
    </font>
    <font>
      <b/>
      <sz val="10"/>
      <color rgb="FF000000"/>
      <name val="Arial"/>
      <family val="2"/>
      <charset val="204"/>
    </font>
    <font>
      <sz val="11"/>
      <color indexed="8"/>
      <name val="Calibri"/>
      <family val="2"/>
      <charset val="204"/>
    </font>
    <font>
      <i/>
      <sz val="10"/>
      <color rgb="FF000000"/>
      <name val="Times New Roman"/>
      <family val="1"/>
      <charset val="204"/>
    </font>
    <font>
      <sz val="26"/>
      <color rgb="FF000000"/>
      <name val="Calibri"/>
      <family val="2"/>
      <charset val="204"/>
    </font>
    <font>
      <b/>
      <sz val="16"/>
      <name val="Times New Roman"/>
      <family val="1"/>
      <charset val="204"/>
    </font>
    <font>
      <b/>
      <sz val="18"/>
      <name val="Times New Roman"/>
      <family val="1"/>
      <charset val="204"/>
    </font>
    <font>
      <b/>
      <sz val="22"/>
      <name val="Times New Roman"/>
      <family val="1"/>
      <charset val="204"/>
    </font>
    <font>
      <b/>
      <sz val="8"/>
      <color rgb="FF000000"/>
      <name val="Arial"/>
      <family val="2"/>
      <charset val="204"/>
    </font>
    <font>
      <sz val="8"/>
      <color rgb="FF000000"/>
      <name val="Arial"/>
      <family val="2"/>
      <charset val="204"/>
    </font>
    <font>
      <sz val="11"/>
      <color rgb="FF000000"/>
      <name val="Calibri"/>
      <family val="2"/>
    </font>
    <font>
      <b/>
      <sz val="18"/>
      <color rgb="FF000000"/>
      <name val="Times New Roman"/>
      <family val="1"/>
      <charset val="204"/>
    </font>
    <font>
      <sz val="18"/>
      <name val="Times New Roman"/>
      <family val="1"/>
      <charset val="204"/>
    </font>
    <font>
      <b/>
      <sz val="14"/>
      <name val="Times New Roman"/>
      <family val="1"/>
      <charset val="204"/>
    </font>
    <font>
      <sz val="14"/>
      <name val="Times New Roman"/>
      <family val="1"/>
      <charset val="204"/>
    </font>
    <font>
      <sz val="14"/>
      <color rgb="FF000000"/>
      <name val="Times New Roman"/>
      <family val="1"/>
      <charset val="204"/>
    </font>
    <font>
      <b/>
      <sz val="14"/>
      <color rgb="FF000000"/>
      <name val="Times New Roman"/>
      <family val="1"/>
      <charset val="204"/>
    </font>
    <font>
      <sz val="14"/>
      <color rgb="FF000000"/>
      <name val="Calibri"/>
      <family val="2"/>
      <charset val="204"/>
    </font>
    <font>
      <b/>
      <sz val="12"/>
      <color rgb="FF361B00"/>
      <name val="Times New Roman"/>
      <family val="1"/>
      <charset val="204"/>
    </font>
    <font>
      <sz val="12"/>
      <color theme="1"/>
      <name val="Times New Roman"/>
      <family val="1"/>
      <charset val="204"/>
    </font>
    <font>
      <sz val="12"/>
      <color theme="0"/>
      <name val="Times New Roman"/>
      <family val="1"/>
      <charset val="204"/>
    </font>
    <font>
      <b/>
      <sz val="12"/>
      <color theme="0"/>
      <name val="Times New Roman"/>
      <family val="1"/>
      <charset val="204"/>
    </font>
    <font>
      <sz val="11"/>
      <color rgb="FF000000"/>
      <name val="Lora"/>
      <charset val="204"/>
    </font>
    <font>
      <b/>
      <sz val="13"/>
      <color rgb="FF000000"/>
      <name val="Times New Roman"/>
      <family val="1"/>
      <charset val="204"/>
    </font>
    <font>
      <i/>
      <sz val="9"/>
      <name val="Calibri"/>
      <family val="2"/>
      <charset val="204"/>
      <scheme val="minor"/>
    </font>
    <font>
      <b/>
      <i/>
      <sz val="13"/>
      <color rgb="FF000000"/>
      <name val="Times New Roman"/>
      <family val="1"/>
      <charset val="204"/>
    </font>
    <font>
      <i/>
      <sz val="12"/>
      <color rgb="FF0000FF"/>
      <name val="Times New Roman"/>
      <family val="1"/>
      <charset val="204"/>
    </font>
    <font>
      <b/>
      <sz val="14"/>
      <color theme="1"/>
      <name val="Times New Roman"/>
      <family val="1"/>
      <charset val="204"/>
    </font>
    <font>
      <b/>
      <sz val="11"/>
      <color rgb="FF361B00"/>
      <name val="Times New Roman"/>
      <family val="1"/>
      <charset val="204"/>
    </font>
    <font>
      <sz val="11"/>
      <color rgb="FFFF0000"/>
      <name val="Times New Roman"/>
      <family val="1"/>
      <charset val="204"/>
    </font>
    <font>
      <sz val="14"/>
      <color theme="1"/>
      <name val="Times New Roman"/>
      <family val="1"/>
      <charset val="204"/>
    </font>
    <font>
      <sz val="14"/>
      <color theme="0"/>
      <name val="Times New Roman"/>
      <family val="1"/>
      <charset val="204"/>
    </font>
    <font>
      <b/>
      <sz val="18"/>
      <color theme="1"/>
      <name val="Times New Roman"/>
      <family val="1"/>
      <charset val="204"/>
    </font>
    <font>
      <i/>
      <sz val="12"/>
      <name val="Times New Roman"/>
      <family val="1"/>
      <charset val="204"/>
    </font>
    <font>
      <sz val="14"/>
      <color rgb="FF361B00"/>
      <name val="Times New Roman"/>
      <family val="1"/>
      <charset val="204"/>
    </font>
    <font>
      <sz val="16"/>
      <name val="Times New Roman"/>
      <family val="1"/>
      <charset val="204"/>
    </font>
    <font>
      <b/>
      <sz val="14"/>
      <color theme="0"/>
      <name val="Times New Roman"/>
      <family val="1"/>
      <charset val="204"/>
    </font>
    <font>
      <sz val="11"/>
      <color rgb="FF361B00"/>
      <name val="Times New Roman"/>
      <family val="1"/>
      <charset val="204"/>
    </font>
  </fonts>
  <fills count="15">
    <fill>
      <patternFill patternType="none"/>
    </fill>
    <fill>
      <patternFill patternType="gray125"/>
    </fill>
    <fill>
      <patternFill patternType="solid">
        <fgColor theme="0"/>
        <bgColor rgb="FFFFFFFF"/>
      </patternFill>
    </fill>
    <fill>
      <patternFill patternType="solid">
        <fgColor theme="0"/>
        <bgColor indexed="64"/>
      </patternFill>
    </fill>
    <fill>
      <patternFill patternType="solid">
        <fgColor theme="0"/>
        <bgColor rgb="FFDBE5F1"/>
      </patternFill>
    </fill>
    <fill>
      <patternFill patternType="solid">
        <fgColor theme="0"/>
        <bgColor rgb="FFCCFFFF"/>
      </patternFill>
    </fill>
    <fill>
      <patternFill patternType="solid">
        <fgColor theme="0"/>
        <bgColor rgb="FFDAEEF3"/>
      </patternFill>
    </fill>
    <fill>
      <patternFill patternType="solid">
        <fgColor theme="0" tint="-0.14999847407452621"/>
        <bgColor rgb="FFDAEEF3"/>
      </patternFill>
    </fill>
    <fill>
      <patternFill patternType="solid">
        <fgColor rgb="FFE51A4B"/>
        <bgColor rgb="FFCCFFFF"/>
      </patternFill>
    </fill>
    <fill>
      <patternFill patternType="solid">
        <fgColor theme="0" tint="-4.9989318521683403E-2"/>
        <bgColor indexed="64"/>
      </patternFill>
    </fill>
    <fill>
      <patternFill patternType="solid">
        <fgColor theme="3" tint="0.79998168889431442"/>
        <bgColor indexed="64"/>
      </patternFill>
    </fill>
    <fill>
      <patternFill patternType="solid">
        <fgColor indexed="22"/>
        <bgColor indexed="64"/>
      </patternFill>
    </fill>
    <fill>
      <patternFill patternType="solid">
        <fgColor theme="4" tint="0.79998168889431442"/>
        <bgColor indexed="64"/>
      </patternFill>
    </fill>
    <fill>
      <patternFill patternType="solid">
        <fgColor rgb="FF3AAA35"/>
        <bgColor indexed="64"/>
      </patternFill>
    </fill>
    <fill>
      <patternFill patternType="solid">
        <fgColor rgb="FF3AAA35"/>
        <bgColor rgb="FFDBE5F1"/>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thin">
        <color auto="1"/>
      </top>
      <bottom/>
      <diagonal/>
    </border>
    <border>
      <left/>
      <right/>
      <top style="slantDashDot">
        <color theme="0" tint="-0.499984740745262"/>
      </top>
      <bottom/>
      <diagonal/>
    </border>
    <border>
      <left/>
      <right/>
      <top style="slantDashDot">
        <color theme="0" tint="-0.499984740745262"/>
      </top>
      <bottom style="thin">
        <color indexed="64"/>
      </bottom>
      <diagonal/>
    </border>
    <border>
      <left/>
      <right/>
      <top/>
      <bottom style="slantDashDot">
        <color theme="0" tint="-0.499984740745262"/>
      </bottom>
      <diagonal/>
    </border>
    <border>
      <left/>
      <right/>
      <top style="slantDashDot">
        <color theme="0" tint="-0.499984740745262"/>
      </top>
      <bottom style="slantDashDot">
        <color theme="0" tint="-0.499984740745262"/>
      </bottom>
      <diagonal/>
    </border>
    <border>
      <left/>
      <right/>
      <top style="dotted">
        <color theme="0" tint="-0.499984740745262"/>
      </top>
      <bottom/>
      <diagonal/>
    </border>
    <border>
      <left/>
      <right/>
      <top style="slantDashDot">
        <color theme="0" tint="-0.499984740745262"/>
      </top>
      <bottom style="dotted">
        <color theme="0" tint="-0.499984740745262"/>
      </bottom>
      <diagonal/>
    </border>
    <border>
      <left/>
      <right/>
      <top/>
      <bottom style="dotted">
        <color theme="0" tint="-0.499984740745262"/>
      </bottom>
      <diagonal/>
    </border>
    <border>
      <left/>
      <right/>
      <top style="dotted">
        <color theme="0" tint="-0.499984740745262"/>
      </top>
      <bottom style="dotted">
        <color theme="0" tint="-0.499984740745262"/>
      </bottom>
      <diagonal/>
    </border>
  </borders>
  <cellStyleXfs count="6">
    <xf numFmtId="0" fontId="0" fillId="0" borderId="0"/>
    <xf numFmtId="164" fontId="1" fillId="0" borderId="0" applyFont="0" applyFill="0" applyBorder="0" applyAlignment="0" applyProtection="0"/>
    <xf numFmtId="0" fontId="1" fillId="0" borderId="0"/>
    <xf numFmtId="9" fontId="9" fillId="0" borderId="0" applyFont="0" applyFill="0" applyBorder="0" applyAlignment="0" applyProtection="0"/>
    <xf numFmtId="9" fontId="1" fillId="0" borderId="0" applyFont="0" applyFill="0" applyBorder="0" applyAlignment="0" applyProtection="0"/>
    <xf numFmtId="0" fontId="22" fillId="0" borderId="0"/>
  </cellStyleXfs>
  <cellXfs count="677">
    <xf numFmtId="0" fontId="0" fillId="0" borderId="0" xfId="0" applyFont="1" applyAlignment="1"/>
    <xf numFmtId="0" fontId="2" fillId="3" borderId="0" xfId="0" applyFont="1" applyFill="1" applyAlignment="1"/>
    <xf numFmtId="0" fontId="2" fillId="3" borderId="0" xfId="0" applyFont="1" applyFill="1" applyAlignment="1"/>
    <xf numFmtId="0" fontId="2" fillId="3" borderId="0" xfId="0" applyFont="1" applyFill="1" applyAlignment="1"/>
    <xf numFmtId="0" fontId="2" fillId="3" borderId="0" xfId="0" applyFont="1" applyFill="1" applyAlignment="1"/>
    <xf numFmtId="0" fontId="2" fillId="3" borderId="0" xfId="0" applyFont="1" applyFill="1" applyAlignment="1"/>
    <xf numFmtId="0" fontId="2" fillId="3" borderId="0" xfId="2" applyFont="1" applyFill="1" applyAlignment="1"/>
    <xf numFmtId="0" fontId="5" fillId="6" borderId="1" xfId="0" applyFont="1" applyFill="1" applyBorder="1" applyAlignment="1">
      <alignment horizontal="center" vertical="center"/>
    </xf>
    <xf numFmtId="0" fontId="0" fillId="0" borderId="0" xfId="0" applyFont="1" applyAlignment="1">
      <alignment horizontal="center" vertical="center"/>
    </xf>
    <xf numFmtId="165" fontId="5" fillId="7" borderId="1" xfId="1" applyNumberFormat="1" applyFont="1" applyFill="1" applyBorder="1" applyAlignment="1">
      <alignment horizontal="center" vertical="center"/>
    </xf>
    <xf numFmtId="166" fontId="5" fillId="7" borderId="1" xfId="1" applyNumberFormat="1" applyFont="1" applyFill="1" applyBorder="1" applyAlignment="1">
      <alignment horizontal="center" vertical="center"/>
    </xf>
    <xf numFmtId="167" fontId="4" fillId="8" borderId="1" xfId="0" applyNumberFormat="1" applyFont="1" applyFill="1" applyBorder="1" applyAlignment="1">
      <alignment horizontal="center" vertical="center"/>
    </xf>
    <xf numFmtId="0" fontId="2" fillId="3" borderId="0" xfId="0" applyFont="1" applyFill="1" applyAlignment="1"/>
    <xf numFmtId="4" fontId="10" fillId="10" borderId="20" xfId="0" applyNumberFormat="1" applyFont="1" applyFill="1" applyBorder="1" applyProtection="1">
      <protection locked="0" hidden="1"/>
    </xf>
    <xf numFmtId="2" fontId="2" fillId="0" borderId="0" xfId="0" applyNumberFormat="1" applyFont="1" applyProtection="1">
      <protection hidden="1"/>
    </xf>
    <xf numFmtId="4" fontId="2" fillId="0" borderId="0" xfId="0" applyNumberFormat="1" applyFont="1" applyFill="1" applyBorder="1" applyProtection="1">
      <protection hidden="1"/>
    </xf>
    <xf numFmtId="4" fontId="10" fillId="0" borderId="0" xfId="0" applyNumberFormat="1" applyFont="1" applyProtection="1">
      <protection hidden="1"/>
    </xf>
    <xf numFmtId="4" fontId="2" fillId="0" borderId="0" xfId="0" applyNumberFormat="1" applyFont="1" applyProtection="1">
      <protection hidden="1"/>
    </xf>
    <xf numFmtId="0" fontId="11" fillId="0" borderId="0" xfId="0" applyFont="1" applyFill="1" applyProtection="1">
      <protection hidden="1"/>
    </xf>
    <xf numFmtId="1" fontId="12" fillId="11" borderId="0" xfId="0" applyNumberFormat="1" applyFont="1" applyFill="1" applyBorder="1" applyProtection="1">
      <protection hidden="1"/>
    </xf>
    <xf numFmtId="2" fontId="12" fillId="11" borderId="0" xfId="0" applyNumberFormat="1" applyFont="1" applyFill="1" applyBorder="1" applyProtection="1">
      <protection hidden="1"/>
    </xf>
    <xf numFmtId="0" fontId="2" fillId="0" borderId="0" xfId="0" applyFont="1" applyAlignment="1">
      <alignment horizontal="center" vertical="center"/>
    </xf>
    <xf numFmtId="2" fontId="10" fillId="0" borderId="0" xfId="0" applyNumberFormat="1" applyFont="1" applyBorder="1" applyAlignment="1" applyProtection="1">
      <protection hidden="1"/>
    </xf>
    <xf numFmtId="14" fontId="10" fillId="0" borderId="0" xfId="0" applyNumberFormat="1" applyFont="1" applyBorder="1" applyAlignment="1" applyProtection="1">
      <protection hidden="1"/>
    </xf>
    <xf numFmtId="4" fontId="2" fillId="0" borderId="0" xfId="0" applyNumberFormat="1" applyFont="1" applyBorder="1" applyAlignment="1" applyProtection="1">
      <alignment horizontal="right"/>
      <protection hidden="1"/>
    </xf>
    <xf numFmtId="1" fontId="10" fillId="10" borderId="25" xfId="0" applyNumberFormat="1" applyFont="1" applyFill="1" applyBorder="1" applyProtection="1">
      <protection locked="0" hidden="1"/>
    </xf>
    <xf numFmtId="4" fontId="10" fillId="0" borderId="0" xfId="0" applyNumberFormat="1" applyFont="1" applyBorder="1" applyAlignment="1" applyProtection="1">
      <protection hidden="1"/>
    </xf>
    <xf numFmtId="14" fontId="10" fillId="10" borderId="25" xfId="0" applyNumberFormat="1" applyFont="1" applyFill="1" applyBorder="1" applyProtection="1">
      <protection locked="0" hidden="1"/>
    </xf>
    <xf numFmtId="4" fontId="10" fillId="0" borderId="0" xfId="0" applyNumberFormat="1" applyFont="1" applyFill="1" applyBorder="1" applyAlignment="1" applyProtection="1">
      <protection hidden="1"/>
    </xf>
    <xf numFmtId="4" fontId="2" fillId="9" borderId="22" xfId="0" applyNumberFormat="1" applyFont="1" applyFill="1" applyBorder="1" applyAlignment="1" applyProtection="1">
      <alignment horizontal="center" vertical="center" wrapText="1"/>
      <protection hidden="1"/>
    </xf>
    <xf numFmtId="4" fontId="2" fillId="9" borderId="24" xfId="0" applyNumberFormat="1" applyFont="1" applyFill="1" applyBorder="1" applyAlignment="1" applyProtection="1">
      <alignment horizontal="center" vertical="center" wrapText="1"/>
      <protection hidden="1"/>
    </xf>
    <xf numFmtId="4" fontId="2" fillId="9" borderId="34" xfId="0" applyNumberFormat="1" applyFont="1" applyFill="1" applyBorder="1" applyAlignment="1" applyProtection="1">
      <alignment horizontal="center" vertical="center" wrapText="1"/>
      <protection hidden="1"/>
    </xf>
    <xf numFmtId="4" fontId="2" fillId="9" borderId="33" xfId="0" applyNumberFormat="1" applyFont="1" applyFill="1" applyBorder="1" applyAlignment="1" applyProtection="1">
      <alignment horizontal="center" vertical="center" wrapText="1"/>
      <protection hidden="1"/>
    </xf>
    <xf numFmtId="1" fontId="10" fillId="11" borderId="35" xfId="0" applyNumberFormat="1" applyFont="1" applyFill="1" applyBorder="1" applyAlignment="1" applyProtection="1">
      <alignment horizontal="center"/>
      <protection hidden="1"/>
    </xf>
    <xf numFmtId="1" fontId="10" fillId="11" borderId="36" xfId="0" applyNumberFormat="1" applyFont="1" applyFill="1" applyBorder="1" applyAlignment="1" applyProtection="1">
      <alignment horizontal="center"/>
      <protection hidden="1"/>
    </xf>
    <xf numFmtId="14" fontId="13" fillId="11" borderId="37" xfId="0" applyNumberFormat="1" applyFont="1" applyFill="1" applyBorder="1" applyAlignment="1" applyProtection="1">
      <alignment horizontal="left"/>
      <protection hidden="1"/>
    </xf>
    <xf numFmtId="4" fontId="10" fillId="11" borderId="38" xfId="0" applyNumberFormat="1" applyFont="1" applyFill="1" applyBorder="1" applyProtection="1">
      <protection hidden="1"/>
    </xf>
    <xf numFmtId="4" fontId="10" fillId="11" borderId="36" xfId="0" applyNumberFormat="1" applyFont="1" applyFill="1" applyBorder="1" applyProtection="1">
      <protection hidden="1"/>
    </xf>
    <xf numFmtId="4" fontId="10" fillId="11" borderId="39" xfId="0" applyNumberFormat="1" applyFont="1" applyFill="1" applyBorder="1" applyProtection="1">
      <protection hidden="1"/>
    </xf>
    <xf numFmtId="4" fontId="13" fillId="11" borderId="36" xfId="0" applyNumberFormat="1" applyFont="1" applyFill="1" applyBorder="1" applyProtection="1">
      <protection hidden="1"/>
    </xf>
    <xf numFmtId="4" fontId="10" fillId="11" borderId="35" xfId="0" applyNumberFormat="1" applyFont="1" applyFill="1" applyBorder="1" applyProtection="1">
      <protection hidden="1"/>
    </xf>
    <xf numFmtId="4" fontId="13" fillId="11" borderId="37" xfId="0" applyNumberFormat="1" applyFont="1" applyFill="1" applyBorder="1" applyProtection="1">
      <protection hidden="1"/>
    </xf>
    <xf numFmtId="4" fontId="10" fillId="11" borderId="37" xfId="0" applyNumberFormat="1" applyFont="1" applyFill="1" applyBorder="1" applyProtection="1">
      <protection hidden="1"/>
    </xf>
    <xf numFmtId="1" fontId="2" fillId="0" borderId="40" xfId="0" applyNumberFormat="1" applyFont="1" applyBorder="1" applyAlignment="1" applyProtection="1">
      <alignment horizontal="center"/>
      <protection hidden="1"/>
    </xf>
    <xf numFmtId="1" fontId="2" fillId="0" borderId="0" xfId="0" applyNumberFormat="1" applyFont="1" applyBorder="1" applyAlignment="1" applyProtection="1">
      <alignment horizontal="left"/>
      <protection hidden="1"/>
    </xf>
    <xf numFmtId="14" fontId="2" fillId="0" borderId="15" xfId="0" applyNumberFormat="1" applyFont="1" applyBorder="1" applyAlignment="1" applyProtection="1">
      <alignment horizontal="left"/>
      <protection hidden="1"/>
    </xf>
    <xf numFmtId="4" fontId="2" fillId="0" borderId="41" xfId="0" applyNumberFormat="1" applyFont="1" applyBorder="1" applyAlignment="1" applyProtection="1">
      <alignment horizontal="right"/>
      <protection hidden="1"/>
    </xf>
    <xf numFmtId="4" fontId="2" fillId="0" borderId="42" xfId="0" applyNumberFormat="1" applyFont="1" applyBorder="1" applyAlignment="1" applyProtection="1">
      <alignment horizontal="right"/>
      <protection hidden="1"/>
    </xf>
    <xf numFmtId="4" fontId="2" fillId="0" borderId="13" xfId="0" applyNumberFormat="1" applyFont="1" applyBorder="1" applyAlignment="1" applyProtection="1">
      <alignment horizontal="right"/>
      <protection hidden="1"/>
    </xf>
    <xf numFmtId="4" fontId="2" fillId="0" borderId="40" xfId="0" applyNumberFormat="1" applyFont="1" applyBorder="1" applyAlignment="1" applyProtection="1">
      <alignment horizontal="right"/>
      <protection hidden="1"/>
    </xf>
    <xf numFmtId="4" fontId="2" fillId="0" borderId="15" xfId="0" applyNumberFormat="1" applyFont="1" applyBorder="1" applyAlignment="1" applyProtection="1">
      <alignment horizontal="right"/>
      <protection hidden="1"/>
    </xf>
    <xf numFmtId="4" fontId="11" fillId="0" borderId="0" xfId="0" applyNumberFormat="1" applyFont="1" applyBorder="1" applyAlignment="1" applyProtection="1">
      <alignment horizontal="right"/>
      <protection hidden="1"/>
    </xf>
    <xf numFmtId="1" fontId="2" fillId="0" borderId="16" xfId="0" applyNumberFormat="1" applyFont="1" applyBorder="1" applyAlignment="1" applyProtection="1">
      <alignment horizontal="center"/>
      <protection hidden="1"/>
    </xf>
    <xf numFmtId="4" fontId="2" fillId="0" borderId="16" xfId="0" applyNumberFormat="1" applyFont="1" applyBorder="1" applyAlignment="1" applyProtection="1">
      <alignment horizontal="right"/>
      <protection hidden="1"/>
    </xf>
    <xf numFmtId="4" fontId="2" fillId="0" borderId="43" xfId="0" applyNumberFormat="1" applyFont="1" applyBorder="1" applyAlignment="1" applyProtection="1">
      <alignment horizontal="right"/>
      <protection hidden="1"/>
    </xf>
    <xf numFmtId="4" fontId="2" fillId="0" borderId="44" xfId="0" applyNumberFormat="1" applyFont="1" applyBorder="1" applyAlignment="1" applyProtection="1">
      <alignment horizontal="right"/>
      <protection hidden="1"/>
    </xf>
    <xf numFmtId="4" fontId="2" fillId="0" borderId="45" xfId="0" applyNumberFormat="1" applyFont="1" applyBorder="1" applyAlignment="1" applyProtection="1">
      <alignment horizontal="right"/>
      <protection hidden="1"/>
    </xf>
    <xf numFmtId="1" fontId="2" fillId="0" borderId="42" xfId="0" applyNumberFormat="1" applyFont="1" applyBorder="1" applyAlignment="1" applyProtection="1">
      <alignment horizontal="center"/>
      <protection hidden="1"/>
    </xf>
    <xf numFmtId="1" fontId="2" fillId="0" borderId="14" xfId="0" applyNumberFormat="1" applyFont="1" applyBorder="1" applyAlignment="1" applyProtection="1">
      <alignment horizontal="center"/>
      <protection hidden="1"/>
    </xf>
    <xf numFmtId="4" fontId="2" fillId="0" borderId="14" xfId="0" applyNumberFormat="1" applyFont="1" applyBorder="1" applyAlignment="1" applyProtection="1">
      <alignment horizontal="right"/>
      <protection hidden="1"/>
    </xf>
    <xf numFmtId="4" fontId="2" fillId="0" borderId="47" xfId="0" applyNumberFormat="1" applyFont="1" applyBorder="1" applyAlignment="1" applyProtection="1">
      <alignment horizontal="right"/>
      <protection hidden="1"/>
    </xf>
    <xf numFmtId="4" fontId="2" fillId="0" borderId="48" xfId="0" applyNumberFormat="1" applyFont="1" applyBorder="1" applyAlignment="1" applyProtection="1">
      <alignment horizontal="right"/>
      <protection hidden="1"/>
    </xf>
    <xf numFmtId="4" fontId="2" fillId="0" borderId="49" xfId="0" applyNumberFormat="1" applyFont="1" applyBorder="1" applyAlignment="1" applyProtection="1">
      <alignment horizontal="right"/>
      <protection hidden="1"/>
    </xf>
    <xf numFmtId="4" fontId="2" fillId="12" borderId="41" xfId="0" applyNumberFormat="1" applyFont="1" applyFill="1" applyBorder="1" applyAlignment="1" applyProtection="1">
      <alignment horizontal="right"/>
      <protection locked="0" hidden="1"/>
    </xf>
    <xf numFmtId="4" fontId="2" fillId="12" borderId="45" xfId="0" applyNumberFormat="1" applyFont="1" applyFill="1" applyBorder="1" applyAlignment="1" applyProtection="1">
      <alignment horizontal="right"/>
      <protection locked="0" hidden="1"/>
    </xf>
    <xf numFmtId="4" fontId="2" fillId="12" borderId="46" xfId="0" applyNumberFormat="1" applyFont="1" applyFill="1" applyBorder="1" applyAlignment="1" applyProtection="1">
      <alignment horizontal="right"/>
      <protection locked="0" hidden="1"/>
    </xf>
    <xf numFmtId="4" fontId="2" fillId="12" borderId="50" xfId="0" applyNumberFormat="1" applyFont="1" applyFill="1" applyBorder="1" applyAlignment="1" applyProtection="1">
      <alignment horizontal="right"/>
      <protection locked="0" hidden="1"/>
    </xf>
    <xf numFmtId="4" fontId="2" fillId="12" borderId="15" xfId="0" applyNumberFormat="1" applyFont="1" applyFill="1" applyBorder="1" applyAlignment="1" applyProtection="1">
      <alignment horizontal="right"/>
      <protection locked="0" hidden="1"/>
    </xf>
    <xf numFmtId="4" fontId="2" fillId="12" borderId="49" xfId="0" applyNumberFormat="1" applyFont="1" applyFill="1" applyBorder="1" applyAlignment="1" applyProtection="1">
      <alignment horizontal="right"/>
      <protection locked="0" hidden="1"/>
    </xf>
    <xf numFmtId="1" fontId="2" fillId="0" borderId="0" xfId="0" applyNumberFormat="1" applyFont="1" applyBorder="1" applyAlignment="1" applyProtection="1">
      <alignment horizontal="center"/>
      <protection hidden="1"/>
    </xf>
    <xf numFmtId="1" fontId="2" fillId="0" borderId="13" xfId="0" applyNumberFormat="1" applyFont="1" applyBorder="1" applyAlignment="1" applyProtection="1">
      <alignment horizontal="center"/>
      <protection hidden="1"/>
    </xf>
    <xf numFmtId="4" fontId="2" fillId="0" borderId="51" xfId="0" applyNumberFormat="1" applyFont="1" applyBorder="1" applyAlignment="1" applyProtection="1">
      <alignment horizontal="right"/>
      <protection hidden="1"/>
    </xf>
    <xf numFmtId="4" fontId="2" fillId="0" borderId="32" xfId="0" applyNumberFormat="1" applyFont="1" applyBorder="1" applyAlignment="1" applyProtection="1">
      <alignment horizontal="right"/>
      <protection hidden="1"/>
    </xf>
    <xf numFmtId="4" fontId="2" fillId="0" borderId="25" xfId="0" applyNumberFormat="1" applyFont="1" applyBorder="1" applyAlignment="1" applyProtection="1">
      <alignment horizontal="right"/>
      <protection hidden="1"/>
    </xf>
    <xf numFmtId="4" fontId="2" fillId="12" borderId="52" xfId="0" applyNumberFormat="1" applyFont="1" applyFill="1" applyBorder="1" applyAlignment="1" applyProtection="1">
      <alignment horizontal="right"/>
      <protection locked="0" hidden="1"/>
    </xf>
    <xf numFmtId="4" fontId="2" fillId="12" borderId="25" xfId="0" applyNumberFormat="1" applyFont="1" applyFill="1" applyBorder="1" applyAlignment="1" applyProtection="1">
      <alignment horizontal="right"/>
      <protection locked="0" hidden="1"/>
    </xf>
    <xf numFmtId="1" fontId="2" fillId="11" borderId="0" xfId="0" applyNumberFormat="1" applyFont="1" applyFill="1" applyBorder="1" applyAlignment="1" applyProtection="1">
      <alignment horizontal="right"/>
      <protection hidden="1"/>
    </xf>
    <xf numFmtId="0" fontId="2" fillId="11" borderId="0" xfId="0" applyFont="1" applyFill="1" applyBorder="1" applyAlignment="1" applyProtection="1">
      <alignment horizontal="left"/>
      <protection hidden="1"/>
    </xf>
    <xf numFmtId="4" fontId="2" fillId="11" borderId="0" xfId="0" applyNumberFormat="1" applyFont="1" applyFill="1" applyBorder="1" applyProtection="1">
      <protection hidden="1"/>
    </xf>
    <xf numFmtId="4" fontId="2" fillId="12" borderId="0" xfId="0" applyNumberFormat="1" applyFont="1" applyFill="1" applyBorder="1" applyProtection="1">
      <protection hidden="1"/>
    </xf>
    <xf numFmtId="0" fontId="11" fillId="11" borderId="0" xfId="0" applyFont="1" applyFill="1" applyBorder="1" applyProtection="1">
      <protection hidden="1"/>
    </xf>
    <xf numFmtId="0" fontId="2" fillId="3" borderId="0" xfId="0" applyFont="1" applyFill="1" applyAlignment="1"/>
    <xf numFmtId="0" fontId="2" fillId="0" borderId="0" xfId="0" applyFont="1" applyFill="1" applyAlignment="1"/>
    <xf numFmtId="0" fontId="2" fillId="3" borderId="0" xfId="0" applyFont="1" applyFill="1" applyAlignment="1"/>
    <xf numFmtId="0" fontId="2" fillId="3" borderId="0" xfId="0" applyFont="1" applyFill="1" applyAlignment="1"/>
    <xf numFmtId="0" fontId="0" fillId="0" borderId="54" xfId="0" applyFont="1" applyBorder="1" applyAlignment="1"/>
    <xf numFmtId="0" fontId="0" fillId="0" borderId="0" xfId="0" applyFont="1" applyBorder="1" applyAlignment="1"/>
    <xf numFmtId="0" fontId="2" fillId="3" borderId="0" xfId="0" applyFont="1" applyFill="1" applyBorder="1" applyAlignment="1"/>
    <xf numFmtId="0" fontId="2" fillId="3" borderId="0" xfId="0" applyFont="1" applyFill="1" applyAlignment="1"/>
    <xf numFmtId="0" fontId="2" fillId="3" borderId="0" xfId="0" applyFont="1" applyFill="1" applyAlignment="1"/>
    <xf numFmtId="0" fontId="1" fillId="0" borderId="0" xfId="2" applyFont="1" applyAlignment="1"/>
    <xf numFmtId="0" fontId="18" fillId="0" borderId="0" xfId="0" applyFont="1" applyAlignment="1"/>
    <xf numFmtId="0" fontId="15" fillId="0" borderId="0" xfId="0" applyFont="1" applyAlignment="1"/>
    <xf numFmtId="0" fontId="2" fillId="3" borderId="0" xfId="0" applyFont="1" applyFill="1" applyAlignment="1"/>
    <xf numFmtId="0" fontId="19" fillId="0" borderId="0" xfId="2" applyFont="1" applyAlignment="1"/>
    <xf numFmtId="10" fontId="1" fillId="0" borderId="0" xfId="2" applyNumberFormat="1" applyFont="1" applyAlignment="1"/>
    <xf numFmtId="9" fontId="1" fillId="0" borderId="0" xfId="2" applyNumberFormat="1" applyFont="1" applyAlignment="1"/>
    <xf numFmtId="1" fontId="1" fillId="0" borderId="0" xfId="2" applyNumberFormat="1" applyFont="1" applyAlignment="1"/>
    <xf numFmtId="9" fontId="1" fillId="0" borderId="0" xfId="4" applyFont="1" applyAlignment="1"/>
    <xf numFmtId="10" fontId="0" fillId="0" borderId="0" xfId="4" applyNumberFormat="1" applyFont="1" applyAlignment="1"/>
    <xf numFmtId="10" fontId="1" fillId="0" borderId="0" xfId="4" applyNumberFormat="1" applyFont="1" applyAlignment="1"/>
    <xf numFmtId="0" fontId="2" fillId="0" borderId="1" xfId="2" applyFont="1" applyBorder="1" applyAlignment="1"/>
    <xf numFmtId="3" fontId="2" fillId="0" borderId="1" xfId="2" applyNumberFormat="1" applyFont="1" applyBorder="1" applyAlignment="1"/>
    <xf numFmtId="0" fontId="2" fillId="0" borderId="10" xfId="2" applyFont="1" applyBorder="1" applyAlignment="1"/>
    <xf numFmtId="9" fontId="2" fillId="0" borderId="1" xfId="4" applyFont="1" applyFill="1" applyBorder="1" applyAlignment="1"/>
    <xf numFmtId="168" fontId="0" fillId="0" borderId="0" xfId="4" applyNumberFormat="1" applyFont="1" applyAlignment="1"/>
    <xf numFmtId="168" fontId="1" fillId="0" borderId="0" xfId="4" applyNumberFormat="1" applyFont="1" applyAlignment="1"/>
    <xf numFmtId="3" fontId="1" fillId="0" borderId="0" xfId="2" applyNumberFormat="1" applyFont="1" applyAlignment="1"/>
    <xf numFmtId="0" fontId="2" fillId="3" borderId="0" xfId="0" applyFont="1" applyFill="1" applyAlignment="1"/>
    <xf numFmtId="0" fontId="2" fillId="3" borderId="0" xfId="0" applyFont="1" applyFill="1" applyAlignment="1"/>
    <xf numFmtId="0" fontId="28" fillId="0" borderId="53" xfId="0" applyFont="1" applyBorder="1" applyAlignment="1">
      <alignment horizontal="center" vertical="center"/>
    </xf>
    <xf numFmtId="165" fontId="29" fillId="0" borderId="0" xfId="0" applyNumberFormat="1" applyFont="1" applyAlignment="1">
      <alignment vertical="center"/>
    </xf>
    <xf numFmtId="10" fontId="30" fillId="0" borderId="0" xfId="0" applyNumberFormat="1" applyFont="1" applyAlignment="1"/>
    <xf numFmtId="0" fontId="2" fillId="3" borderId="0" xfId="0" applyFont="1" applyFill="1" applyAlignment="1">
      <alignment wrapText="1"/>
    </xf>
    <xf numFmtId="0" fontId="43" fillId="0" borderId="0" xfId="0" applyFont="1" applyAlignment="1">
      <alignment horizontal="justify" vertical="center"/>
    </xf>
    <xf numFmtId="0" fontId="44" fillId="0" borderId="0" xfId="0" applyFont="1" applyBorder="1" applyAlignment="1">
      <alignment horizontal="right"/>
    </xf>
    <xf numFmtId="0" fontId="44" fillId="0" borderId="0" xfId="0" applyFont="1" applyFill="1" applyBorder="1" applyAlignment="1">
      <alignment horizontal="right"/>
    </xf>
    <xf numFmtId="0" fontId="45" fillId="0" borderId="0" xfId="0" applyFont="1" applyAlignment="1">
      <alignment horizontal="justify" vertical="center"/>
    </xf>
    <xf numFmtId="0" fontId="5" fillId="0" borderId="0" xfId="0" applyFont="1" applyFill="1" applyAlignment="1"/>
    <xf numFmtId="0" fontId="35" fillId="3" borderId="0" xfId="0" applyFont="1" applyFill="1" applyAlignment="1"/>
    <xf numFmtId="0" fontId="2" fillId="3" borderId="0" xfId="0" applyFont="1" applyFill="1" applyAlignment="1">
      <alignment horizontal="left" vertical="center" indent="3"/>
    </xf>
    <xf numFmtId="0" fontId="2" fillId="3" borderId="0" xfId="0" applyFont="1" applyFill="1" applyAlignment="1">
      <alignment vertical="center"/>
    </xf>
    <xf numFmtId="0" fontId="35" fillId="0" borderId="0" xfId="0" applyFont="1" applyBorder="1" applyAlignment="1">
      <alignment vertical="center" wrapText="1"/>
    </xf>
    <xf numFmtId="0" fontId="35" fillId="0" borderId="0" xfId="0" applyFont="1" applyBorder="1" applyAlignment="1" applyProtection="1">
      <alignment vertical="center" wrapText="1"/>
      <protection hidden="1"/>
    </xf>
    <xf numFmtId="0" fontId="0" fillId="0" borderId="0" xfId="0" applyFont="1" applyBorder="1" applyAlignment="1" applyProtection="1">
      <protection hidden="1"/>
    </xf>
    <xf numFmtId="0" fontId="1" fillId="0" borderId="0" xfId="0" applyFont="1" applyBorder="1" applyAlignment="1" applyProtection="1">
      <alignment vertical="center"/>
      <protection hidden="1"/>
    </xf>
    <xf numFmtId="0" fontId="1" fillId="0" borderId="0" xfId="0" applyFont="1" applyBorder="1" applyAlignment="1" applyProtection="1">
      <protection hidden="1"/>
    </xf>
    <xf numFmtId="0" fontId="0" fillId="0" borderId="0" xfId="0" applyFont="1" applyBorder="1" applyAlignment="1" applyProtection="1">
      <protection locked="0" hidden="1"/>
    </xf>
    <xf numFmtId="0" fontId="0" fillId="0" borderId="54" xfId="0" applyFont="1" applyBorder="1" applyAlignment="1" applyProtection="1">
      <protection hidden="1"/>
    </xf>
    <xf numFmtId="0" fontId="0" fillId="0" borderId="13" xfId="0" applyFont="1" applyBorder="1" applyAlignment="1" applyProtection="1">
      <protection hidden="1"/>
    </xf>
    <xf numFmtId="0" fontId="24" fillId="0" borderId="0" xfId="0" applyFont="1" applyBorder="1" applyAlignment="1" applyProtection="1">
      <protection hidden="1"/>
    </xf>
    <xf numFmtId="0" fontId="0" fillId="0" borderId="0" xfId="0" applyFont="1" applyAlignment="1" applyProtection="1">
      <protection hidden="1"/>
    </xf>
    <xf numFmtId="0" fontId="42" fillId="0" borderId="0" xfId="0" applyFont="1" applyAlignment="1" applyProtection="1">
      <alignment horizontal="center" vertical="center" readingOrder="1"/>
      <protection locked="0" hidden="1"/>
    </xf>
    <xf numFmtId="0" fontId="2" fillId="3" borderId="0" xfId="0" applyFont="1" applyFill="1" applyBorder="1" applyAlignment="1" applyProtection="1">
      <protection hidden="1"/>
    </xf>
    <xf numFmtId="0" fontId="2" fillId="2" borderId="0" xfId="0" applyFont="1" applyFill="1" applyBorder="1" applyProtection="1">
      <protection hidden="1"/>
    </xf>
    <xf numFmtId="0" fontId="2" fillId="3" borderId="0" xfId="0" applyFont="1" applyFill="1" applyBorder="1" applyProtection="1">
      <protection hidden="1"/>
    </xf>
    <xf numFmtId="0" fontId="2" fillId="3" borderId="0" xfId="0" applyFont="1" applyFill="1" applyAlignment="1" applyProtection="1">
      <protection hidden="1"/>
    </xf>
    <xf numFmtId="0" fontId="2" fillId="3" borderId="2" xfId="0" applyFont="1" applyFill="1" applyBorder="1" applyAlignment="1" applyProtection="1">
      <protection hidden="1"/>
    </xf>
    <xf numFmtId="0" fontId="2" fillId="2" borderId="3" xfId="0" applyFont="1" applyFill="1" applyBorder="1" applyProtection="1">
      <protection hidden="1"/>
    </xf>
    <xf numFmtId="0" fontId="2" fillId="3" borderId="3" xfId="0" applyFont="1" applyFill="1" applyBorder="1" applyProtection="1">
      <protection hidden="1"/>
    </xf>
    <xf numFmtId="0" fontId="2" fillId="3" borderId="4" xfId="0" applyFont="1" applyFill="1" applyBorder="1" applyAlignment="1" applyProtection="1">
      <protection hidden="1"/>
    </xf>
    <xf numFmtId="0" fontId="2" fillId="3" borderId="9" xfId="0" applyFont="1" applyFill="1" applyBorder="1" applyAlignment="1" applyProtection="1">
      <protection hidden="1"/>
    </xf>
    <xf numFmtId="0" fontId="2" fillId="3" borderId="7" xfId="0" applyFont="1" applyFill="1" applyBorder="1" applyAlignment="1" applyProtection="1">
      <protection hidden="1"/>
    </xf>
    <xf numFmtId="0" fontId="26" fillId="3" borderId="0" xfId="0" applyFont="1" applyFill="1" applyBorder="1" applyAlignment="1" applyProtection="1">
      <alignment vertical="top"/>
      <protection hidden="1"/>
    </xf>
    <xf numFmtId="0" fontId="0" fillId="0" borderId="9" xfId="0" applyFont="1" applyBorder="1" applyAlignment="1" applyProtection="1">
      <protection hidden="1"/>
    </xf>
    <xf numFmtId="0" fontId="5" fillId="3" borderId="0" xfId="0" applyFont="1" applyFill="1" applyBorder="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1" xfId="0" applyFont="1" applyFill="1" applyBorder="1" applyAlignment="1" applyProtection="1">
      <protection hidden="1"/>
    </xf>
    <xf numFmtId="0" fontId="16" fillId="3" borderId="0" xfId="0" applyFont="1" applyFill="1" applyBorder="1" applyAlignment="1" applyProtection="1">
      <alignment vertical="center" wrapText="1"/>
      <protection hidden="1"/>
    </xf>
    <xf numFmtId="0" fontId="2" fillId="3" borderId="0" xfId="0" applyFont="1" applyFill="1" applyBorder="1" applyAlignment="1" applyProtection="1">
      <alignment vertical="center"/>
      <protection hidden="1"/>
    </xf>
    <xf numFmtId="0" fontId="2" fillId="3" borderId="7" xfId="0" applyFont="1" applyFill="1" applyBorder="1" applyAlignment="1" applyProtection="1">
      <alignment vertical="center"/>
      <protection hidden="1"/>
    </xf>
    <xf numFmtId="0" fontId="0" fillId="0" borderId="9" xfId="0" applyFont="1" applyBorder="1" applyAlignment="1" applyProtection="1">
      <alignment vertical="center"/>
      <protection hidden="1"/>
    </xf>
    <xf numFmtId="0" fontId="2" fillId="3" borderId="0" xfId="0" applyFont="1" applyFill="1" applyAlignment="1" applyProtection="1">
      <alignment vertical="center"/>
      <protection hidden="1"/>
    </xf>
    <xf numFmtId="0" fontId="3" fillId="4" borderId="1"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35" fillId="4" borderId="1" xfId="0" applyFont="1" applyFill="1" applyBorder="1" applyAlignment="1" applyProtection="1">
      <alignment horizontal="center" vertical="center"/>
      <protection hidden="1"/>
    </xf>
    <xf numFmtId="0" fontId="35" fillId="5" borderId="1" xfId="0" applyFont="1" applyFill="1" applyBorder="1" applyAlignment="1" applyProtection="1">
      <alignment horizontal="center" vertical="center"/>
      <protection hidden="1"/>
    </xf>
    <xf numFmtId="0" fontId="35" fillId="5" borderId="1" xfId="0" applyFont="1" applyFill="1" applyBorder="1" applyAlignment="1" applyProtection="1">
      <alignment horizontal="left" vertical="center" wrapText="1" indent="1"/>
      <protection hidden="1"/>
    </xf>
    <xf numFmtId="0" fontId="35" fillId="5" borderId="1" xfId="0" applyFont="1" applyFill="1" applyBorder="1" applyAlignment="1" applyProtection="1">
      <alignment horizontal="center" vertical="center" wrapText="1"/>
      <protection hidden="1"/>
    </xf>
    <xf numFmtId="0" fontId="16" fillId="3" borderId="9" xfId="0" applyFont="1" applyFill="1" applyBorder="1" applyAlignment="1" applyProtection="1">
      <protection hidden="1"/>
    </xf>
    <xf numFmtId="0" fontId="2" fillId="3" borderId="5" xfId="0" applyFont="1" applyFill="1" applyBorder="1" applyAlignment="1" applyProtection="1">
      <protection hidden="1"/>
    </xf>
    <xf numFmtId="0" fontId="2" fillId="3" borderId="6" xfId="0" applyFont="1" applyFill="1" applyBorder="1" applyAlignment="1" applyProtection="1">
      <protection hidden="1"/>
    </xf>
    <xf numFmtId="0" fontId="2" fillId="3" borderId="8" xfId="0" applyFont="1" applyFill="1" applyBorder="1" applyAlignment="1" applyProtection="1">
      <protection hidden="1"/>
    </xf>
    <xf numFmtId="0" fontId="2" fillId="0" borderId="0" xfId="2" applyFont="1" applyFill="1" applyAlignment="1" applyProtection="1">
      <protection hidden="1"/>
    </xf>
    <xf numFmtId="0" fontId="2" fillId="0" borderId="0" xfId="2" applyFont="1" applyFill="1" applyBorder="1" applyAlignment="1" applyProtection="1">
      <protection hidden="1"/>
    </xf>
    <xf numFmtId="0" fontId="2" fillId="0" borderId="0" xfId="2" applyFont="1" applyFill="1" applyBorder="1" applyProtection="1">
      <protection hidden="1"/>
    </xf>
    <xf numFmtId="0" fontId="25" fillId="0" borderId="4" xfId="2" applyFont="1" applyFill="1" applyBorder="1" applyAlignment="1" applyProtection="1">
      <alignment horizontal="center"/>
      <protection hidden="1"/>
    </xf>
    <xf numFmtId="0" fontId="25" fillId="0" borderId="9" xfId="2" applyFont="1" applyFill="1" applyBorder="1" applyAlignment="1" applyProtection="1">
      <alignment horizontal="center"/>
      <protection hidden="1"/>
    </xf>
    <xf numFmtId="0" fontId="2" fillId="0" borderId="7" xfId="2" applyFont="1" applyFill="1" applyBorder="1" applyAlignment="1" applyProtection="1">
      <protection hidden="1"/>
    </xf>
    <xf numFmtId="0" fontId="2" fillId="0" borderId="9" xfId="2" applyFont="1" applyFill="1" applyBorder="1" applyProtection="1">
      <protection hidden="1"/>
    </xf>
    <xf numFmtId="0" fontId="2" fillId="0" borderId="0" xfId="2" applyFont="1" applyFill="1" applyBorder="1" applyAlignment="1" applyProtection="1">
      <alignment horizontal="left" vertical="center" wrapText="1"/>
      <protection hidden="1"/>
    </xf>
    <xf numFmtId="0" fontId="5" fillId="0" borderId="0" xfId="2" applyFont="1" applyFill="1" applyAlignment="1" applyProtection="1">
      <protection hidden="1"/>
    </xf>
    <xf numFmtId="0" fontId="5" fillId="0" borderId="0" xfId="2" applyFont="1" applyFill="1" applyBorder="1" applyAlignment="1" applyProtection="1">
      <alignment vertical="center" wrapText="1"/>
      <protection hidden="1"/>
    </xf>
    <xf numFmtId="0" fontId="2" fillId="0" borderId="0" xfId="2" applyFont="1" applyFill="1" applyBorder="1" applyAlignment="1" applyProtection="1">
      <alignment horizontal="center" vertical="center" wrapText="1"/>
      <protection hidden="1"/>
    </xf>
    <xf numFmtId="0" fontId="0" fillId="0" borderId="0" xfId="0" applyFont="1" applyFill="1" applyBorder="1" applyAlignment="1" applyProtection="1">
      <protection hidden="1"/>
    </xf>
    <xf numFmtId="0" fontId="2" fillId="0" borderId="0" xfId="2" applyFont="1" applyFill="1" applyBorder="1" applyAlignment="1" applyProtection="1">
      <alignment vertical="center" wrapText="1"/>
      <protection hidden="1"/>
    </xf>
    <xf numFmtId="0" fontId="2" fillId="0" borderId="9" xfId="2" applyFont="1" applyFill="1" applyBorder="1" applyAlignment="1" applyProtection="1">
      <protection hidden="1"/>
    </xf>
    <xf numFmtId="0" fontId="2" fillId="0" borderId="5" xfId="2" applyFont="1" applyFill="1" applyBorder="1" applyAlignment="1" applyProtection="1">
      <protection hidden="1"/>
    </xf>
    <xf numFmtId="0" fontId="2" fillId="0" borderId="6" xfId="2" applyFont="1" applyFill="1" applyBorder="1" applyAlignment="1" applyProtection="1">
      <protection hidden="1"/>
    </xf>
    <xf numFmtId="0" fontId="2" fillId="0" borderId="8" xfId="2" applyFont="1" applyFill="1" applyBorder="1" applyAlignment="1" applyProtection="1">
      <protection hidden="1"/>
    </xf>
    <xf numFmtId="0" fontId="2" fillId="3" borderId="0" xfId="2" applyFont="1" applyFill="1" applyBorder="1" applyAlignment="1" applyProtection="1">
      <protection hidden="1"/>
    </xf>
    <xf numFmtId="0" fontId="2" fillId="3" borderId="0" xfId="2" applyFont="1" applyFill="1" applyAlignment="1" applyProtection="1">
      <protection hidden="1"/>
    </xf>
    <xf numFmtId="0" fontId="2" fillId="0" borderId="0" xfId="2" applyFont="1" applyFill="1" applyAlignment="1" applyProtection="1">
      <protection locked="0" hidden="1"/>
    </xf>
    <xf numFmtId="0" fontId="2" fillId="3" borderId="0" xfId="0" applyFont="1" applyFill="1" applyAlignment="1" applyProtection="1">
      <alignment horizontal="center"/>
      <protection hidden="1"/>
    </xf>
    <xf numFmtId="0" fontId="2" fillId="3" borderId="0" xfId="0" applyFont="1" applyFill="1" applyAlignment="1" applyProtection="1">
      <alignment horizontal="left"/>
      <protection hidden="1"/>
    </xf>
    <xf numFmtId="0" fontId="2" fillId="3" borderId="3" xfId="0" applyFont="1" applyFill="1" applyBorder="1" applyAlignment="1" applyProtection="1">
      <protection hidden="1"/>
    </xf>
    <xf numFmtId="0" fontId="2" fillId="3" borderId="3" xfId="0" applyFont="1" applyFill="1" applyBorder="1" applyAlignment="1" applyProtection="1">
      <alignment horizontal="center"/>
      <protection hidden="1"/>
    </xf>
    <xf numFmtId="0" fontId="2" fillId="3" borderId="4" xfId="0" applyFont="1" applyFill="1" applyBorder="1" applyAlignment="1" applyProtection="1">
      <alignment horizontal="left"/>
      <protection hidden="1"/>
    </xf>
    <xf numFmtId="0" fontId="2" fillId="3" borderId="9" xfId="0" applyFont="1" applyFill="1" applyBorder="1" applyAlignment="1" applyProtection="1">
      <alignment horizontal="left"/>
      <protection hidden="1"/>
    </xf>
    <xf numFmtId="0" fontId="16" fillId="3" borderId="0" xfId="0" applyFont="1" applyFill="1" applyBorder="1" applyAlignment="1" applyProtection="1">
      <protection hidden="1"/>
    </xf>
    <xf numFmtId="0" fontId="7" fillId="3" borderId="0" xfId="0" applyFont="1" applyFill="1" applyBorder="1" applyAlignment="1" applyProtection="1">
      <alignment horizontal="left"/>
      <protection hidden="1"/>
    </xf>
    <xf numFmtId="0" fontId="7" fillId="3" borderId="9" xfId="0" applyFont="1" applyFill="1" applyBorder="1" applyAlignment="1" applyProtection="1">
      <alignment horizontal="center" vertical="center"/>
      <protection hidden="1"/>
    </xf>
    <xf numFmtId="0" fontId="17" fillId="3" borderId="13" xfId="1" applyNumberFormat="1" applyFont="1" applyFill="1" applyBorder="1" applyAlignment="1" applyProtection="1">
      <alignment vertical="center"/>
      <protection hidden="1"/>
    </xf>
    <xf numFmtId="0" fontId="1" fillId="0" borderId="9" xfId="0" applyNumberFormat="1" applyFont="1" applyBorder="1" applyAlignment="1" applyProtection="1">
      <alignment vertical="center"/>
      <protection hidden="1"/>
    </xf>
    <xf numFmtId="0" fontId="2" fillId="3" borderId="1" xfId="0" applyFont="1" applyFill="1" applyBorder="1" applyAlignment="1" applyProtection="1">
      <protection hidden="1"/>
    </xf>
    <xf numFmtId="0" fontId="16" fillId="3" borderId="13" xfId="0" applyFont="1" applyFill="1" applyBorder="1" applyAlignment="1" applyProtection="1">
      <alignment vertical="center"/>
      <protection hidden="1"/>
    </xf>
    <xf numFmtId="0" fontId="1" fillId="0" borderId="9" xfId="0" applyFont="1" applyBorder="1" applyAlignment="1" applyProtection="1">
      <alignment vertical="center"/>
      <protection hidden="1"/>
    </xf>
    <xf numFmtId="0" fontId="4" fillId="3" borderId="9" xfId="0" applyFont="1" applyFill="1" applyBorder="1" applyAlignment="1" applyProtection="1">
      <protection hidden="1"/>
    </xf>
    <xf numFmtId="0" fontId="2" fillId="3" borderId="53" xfId="0" applyFont="1" applyFill="1" applyBorder="1" applyAlignment="1" applyProtection="1">
      <protection hidden="1"/>
    </xf>
    <xf numFmtId="0" fontId="36" fillId="0" borderId="1" xfId="0" applyFont="1" applyFill="1" applyBorder="1" applyAlignment="1" applyProtection="1">
      <alignment horizontal="center" vertical="center" wrapText="1"/>
      <protection hidden="1"/>
    </xf>
    <xf numFmtId="0" fontId="36" fillId="0" borderId="11" xfId="0" applyFont="1" applyFill="1" applyBorder="1" applyAlignment="1" applyProtection="1">
      <alignment horizontal="center" vertical="center" wrapText="1"/>
      <protection hidden="1"/>
    </xf>
    <xf numFmtId="0" fontId="47" fillId="0" borderId="11" xfId="0" applyFont="1" applyFill="1" applyBorder="1" applyAlignment="1" applyProtection="1">
      <alignment horizontal="center" vertical="center" wrapText="1"/>
      <protection hidden="1"/>
    </xf>
    <xf numFmtId="0" fontId="36" fillId="0" borderId="1" xfId="0" applyFont="1" applyFill="1" applyBorder="1" applyAlignment="1" applyProtection="1">
      <alignment horizontal="center" vertical="center"/>
      <protection hidden="1"/>
    </xf>
    <xf numFmtId="0" fontId="15" fillId="0" borderId="0" xfId="0" applyFont="1" applyAlignment="1" applyProtection="1">
      <alignment vertical="center"/>
      <protection hidden="1"/>
    </xf>
    <xf numFmtId="3" fontId="36" fillId="0" borderId="1" xfId="1" applyNumberFormat="1" applyFont="1" applyFill="1" applyBorder="1" applyAlignment="1" applyProtection="1">
      <alignment horizontal="center"/>
      <protection hidden="1"/>
    </xf>
    <xf numFmtId="165" fontId="20" fillId="3" borderId="9" xfId="0" applyNumberFormat="1" applyFont="1" applyFill="1" applyBorder="1" applyAlignment="1" applyProtection="1">
      <protection hidden="1"/>
    </xf>
    <xf numFmtId="10" fontId="35" fillId="0" borderId="10" xfId="0" applyNumberFormat="1" applyFont="1" applyFill="1" applyBorder="1" applyAlignment="1" applyProtection="1">
      <alignment horizontal="left" vertical="center" wrapText="1" indent="2"/>
      <protection hidden="1"/>
    </xf>
    <xf numFmtId="171" fontId="36" fillId="0" borderId="1" xfId="1" applyNumberFormat="1" applyFont="1" applyFill="1" applyBorder="1" applyAlignment="1" applyProtection="1">
      <alignment horizontal="center"/>
      <protection hidden="1"/>
    </xf>
    <xf numFmtId="10" fontId="35" fillId="0" borderId="12" xfId="0" applyNumberFormat="1" applyFont="1" applyFill="1" applyBorder="1" applyAlignment="1" applyProtection="1">
      <alignment horizontal="left" vertical="center" wrapText="1" indent="3"/>
      <protection hidden="1"/>
    </xf>
    <xf numFmtId="0" fontId="35" fillId="3" borderId="0" xfId="0" applyFont="1" applyFill="1" applyBorder="1" applyAlignment="1" applyProtection="1">
      <protection hidden="1"/>
    </xf>
    <xf numFmtId="171" fontId="34" fillId="0" borderId="1" xfId="1" applyNumberFormat="1" applyFont="1" applyFill="1" applyBorder="1" applyAlignment="1" applyProtection="1">
      <alignment horizontal="center"/>
      <protection hidden="1"/>
    </xf>
    <xf numFmtId="3" fontId="36" fillId="0" borderId="1" xfId="0" applyNumberFormat="1" applyFont="1" applyFill="1" applyBorder="1" applyAlignment="1" applyProtection="1">
      <alignment horizontal="center"/>
      <protection hidden="1"/>
    </xf>
    <xf numFmtId="3" fontId="35" fillId="0" borderId="10" xfId="0" applyNumberFormat="1" applyFont="1" applyFill="1" applyBorder="1" applyAlignment="1" applyProtection="1">
      <alignment horizontal="left" vertical="center" wrapText="1" indent="2"/>
      <protection hidden="1"/>
    </xf>
    <xf numFmtId="3" fontId="34" fillId="3" borderId="11" xfId="0" applyNumberFormat="1" applyFont="1" applyFill="1" applyBorder="1" applyAlignment="1" applyProtection="1">
      <protection hidden="1"/>
    </xf>
    <xf numFmtId="9" fontId="34" fillId="0" borderId="1" xfId="3" applyFont="1" applyFill="1" applyBorder="1" applyAlignment="1" applyProtection="1">
      <alignment horizontal="center" vertical="center" wrapText="1"/>
      <protection hidden="1"/>
    </xf>
    <xf numFmtId="171" fontId="35" fillId="0" borderId="1" xfId="0" applyNumberFormat="1" applyFont="1" applyFill="1" applyBorder="1" applyAlignment="1" applyProtection="1">
      <alignment horizontal="center"/>
      <protection hidden="1"/>
    </xf>
    <xf numFmtId="3" fontId="35" fillId="0" borderId="1" xfId="0" applyNumberFormat="1" applyFont="1" applyFill="1" applyBorder="1" applyAlignment="1" applyProtection="1">
      <alignment horizontal="center"/>
      <protection hidden="1"/>
    </xf>
    <xf numFmtId="3" fontId="34" fillId="0" borderId="11" xfId="1" applyNumberFormat="1" applyFont="1" applyFill="1" applyBorder="1" applyAlignment="1" applyProtection="1">
      <alignment horizontal="center"/>
      <protection hidden="1"/>
    </xf>
    <xf numFmtId="0" fontId="2" fillId="3" borderId="6" xfId="0" applyFont="1" applyFill="1" applyBorder="1" applyAlignment="1" applyProtection="1">
      <alignment horizontal="center"/>
      <protection hidden="1"/>
    </xf>
    <xf numFmtId="0" fontId="2" fillId="3" borderId="8" xfId="0" applyFont="1" applyFill="1" applyBorder="1" applyAlignment="1" applyProtection="1">
      <alignment horizontal="left"/>
      <protection hidden="1"/>
    </xf>
    <xf numFmtId="0" fontId="23" fillId="3" borderId="0" xfId="0" applyFont="1" applyFill="1" applyBorder="1" applyAlignment="1" applyProtection="1">
      <protection hidden="1"/>
    </xf>
    <xf numFmtId="0" fontId="2" fillId="3" borderId="0" xfId="0" applyFont="1" applyFill="1" applyBorder="1" applyAlignment="1" applyProtection="1">
      <alignment horizontal="left"/>
      <protection hidden="1"/>
    </xf>
    <xf numFmtId="0" fontId="2" fillId="0" borderId="0" xfId="0" applyFont="1" applyFill="1" applyBorder="1" applyAlignment="1" applyProtection="1">
      <protection hidden="1"/>
    </xf>
    <xf numFmtId="0" fontId="2" fillId="3" borderId="0" xfId="0" applyFont="1" applyFill="1" applyBorder="1" applyAlignment="1" applyProtection="1">
      <alignment vertical="center" wrapText="1"/>
      <protection hidden="1"/>
    </xf>
    <xf numFmtId="0" fontId="7" fillId="3" borderId="0" xfId="0" applyFont="1" applyFill="1" applyBorder="1" applyAlignment="1" applyProtection="1">
      <alignment horizontal="left" vertical="center"/>
      <protection hidden="1"/>
    </xf>
    <xf numFmtId="0" fontId="2" fillId="3" borderId="9" xfId="0" applyFont="1" applyFill="1" applyBorder="1" applyAlignment="1" applyProtection="1">
      <alignment horizontal="center" vertical="center" wrapText="1"/>
      <protection hidden="1"/>
    </xf>
    <xf numFmtId="0" fontId="2" fillId="3" borderId="0" xfId="0" applyFont="1" applyFill="1" applyBorder="1" applyAlignment="1" applyProtection="1">
      <alignment horizontal="center" vertical="center" wrapText="1"/>
      <protection hidden="1"/>
    </xf>
    <xf numFmtId="3" fontId="36" fillId="0" borderId="1" xfId="1" applyNumberFormat="1" applyFont="1" applyFill="1" applyBorder="1" applyAlignment="1" applyProtection="1">
      <alignment horizontal="center" vertical="center"/>
      <protection hidden="1"/>
    </xf>
    <xf numFmtId="0" fontId="5" fillId="3" borderId="9" xfId="0" applyFont="1" applyFill="1" applyBorder="1" applyAlignment="1" applyProtection="1">
      <alignment horizontal="center"/>
      <protection hidden="1"/>
    </xf>
    <xf numFmtId="0" fontId="5" fillId="3" borderId="9" xfId="0" applyFont="1" applyFill="1" applyBorder="1" applyAlignment="1" applyProtection="1">
      <protection hidden="1"/>
    </xf>
    <xf numFmtId="0" fontId="36" fillId="3" borderId="11" xfId="0" applyFont="1" applyFill="1" applyBorder="1" applyAlignment="1" applyProtection="1">
      <alignment horizontal="left" indent="3"/>
      <protection hidden="1"/>
    </xf>
    <xf numFmtId="3" fontId="35" fillId="0" borderId="1" xfId="1" applyNumberFormat="1" applyFont="1" applyFill="1" applyBorder="1" applyAlignment="1" applyProtection="1">
      <alignment horizontal="center" vertical="center"/>
      <protection hidden="1"/>
    </xf>
    <xf numFmtId="0" fontId="2" fillId="3" borderId="0" xfId="0" applyFont="1" applyFill="1" applyAlignment="1" applyProtection="1">
      <alignment horizontal="left" vertical="center" indent="3"/>
      <protection hidden="1"/>
    </xf>
    <xf numFmtId="0" fontId="2" fillId="3" borderId="7" xfId="0" applyFont="1" applyFill="1" applyBorder="1" applyAlignment="1" applyProtection="1">
      <alignment horizontal="left" vertical="center" indent="3"/>
      <protection hidden="1"/>
    </xf>
    <xf numFmtId="0" fontId="5" fillId="3" borderId="9" xfId="0" applyFont="1" applyFill="1" applyBorder="1" applyAlignment="1" applyProtection="1">
      <alignment horizontal="left" vertical="center" indent="3"/>
      <protection hidden="1"/>
    </xf>
    <xf numFmtId="0" fontId="47" fillId="5" borderId="10" xfId="0" applyFont="1" applyFill="1" applyBorder="1" applyAlignment="1" applyProtection="1">
      <alignment vertical="center" wrapText="1"/>
      <protection hidden="1"/>
    </xf>
    <xf numFmtId="0" fontId="35" fillId="0" borderId="53" xfId="0" applyFont="1" applyBorder="1" applyAlignment="1" applyProtection="1">
      <alignment horizontal="left" vertical="center" indent="3"/>
      <protection hidden="1"/>
    </xf>
    <xf numFmtId="3" fontId="35" fillId="3" borderId="50" xfId="0" applyNumberFormat="1" applyFont="1" applyFill="1" applyBorder="1" applyAlignment="1" applyProtection="1">
      <alignment horizontal="center" vertical="center"/>
      <protection hidden="1"/>
    </xf>
    <xf numFmtId="3" fontId="36" fillId="3" borderId="50" xfId="0" applyNumberFormat="1" applyFont="1" applyFill="1" applyBorder="1" applyAlignment="1" applyProtection="1">
      <alignment horizontal="center" vertical="center"/>
      <protection hidden="1"/>
    </xf>
    <xf numFmtId="0" fontId="50" fillId="0" borderId="10" xfId="0" applyFont="1" applyFill="1" applyBorder="1" applyAlignment="1" applyProtection="1">
      <alignment horizontal="left" vertical="center" indent="3"/>
      <protection hidden="1"/>
    </xf>
    <xf numFmtId="3" fontId="47" fillId="0" borderId="1" xfId="1" applyNumberFormat="1" applyFont="1" applyFill="1" applyBorder="1" applyAlignment="1" applyProtection="1">
      <alignment horizontal="center" vertical="center"/>
      <protection hidden="1"/>
    </xf>
    <xf numFmtId="0" fontId="50" fillId="3" borderId="10" xfId="0" applyFont="1" applyFill="1" applyBorder="1" applyAlignment="1" applyProtection="1">
      <alignment horizontal="left" vertical="center" indent="3"/>
      <protection hidden="1"/>
    </xf>
    <xf numFmtId="0" fontId="47" fillId="0" borderId="12" xfId="0" applyFont="1" applyFill="1" applyBorder="1" applyAlignment="1" applyProtection="1">
      <alignment horizontal="center" wrapText="1"/>
      <protection hidden="1"/>
    </xf>
    <xf numFmtId="3" fontId="50" fillId="0" borderId="1" xfId="1" applyNumberFormat="1" applyFont="1" applyFill="1" applyBorder="1" applyAlignment="1" applyProtection="1">
      <alignment horizontal="center" vertical="center"/>
      <protection hidden="1"/>
    </xf>
    <xf numFmtId="0" fontId="50" fillId="5" borderId="10" xfId="0" applyFont="1" applyFill="1" applyBorder="1" applyAlignment="1" applyProtection="1">
      <alignment horizontal="left" vertical="center" wrapText="1" indent="3"/>
      <protection hidden="1"/>
    </xf>
    <xf numFmtId="0" fontId="2" fillId="5" borderId="6" xfId="0" applyFont="1" applyFill="1" applyBorder="1" applyAlignment="1" applyProtection="1">
      <alignment vertical="center"/>
      <protection hidden="1"/>
    </xf>
    <xf numFmtId="0" fontId="15" fillId="0" borderId="0" xfId="0" applyFont="1" applyBorder="1" applyAlignment="1" applyProtection="1">
      <alignment vertical="center"/>
      <protection hidden="1"/>
    </xf>
    <xf numFmtId="0" fontId="2" fillId="5" borderId="0" xfId="0" applyFont="1" applyFill="1" applyBorder="1" applyAlignment="1" applyProtection="1">
      <alignment vertical="center"/>
      <protection hidden="1"/>
    </xf>
    <xf numFmtId="0" fontId="18" fillId="0" borderId="0" xfId="0" applyFont="1" applyBorder="1" applyAlignment="1" applyProtection="1">
      <alignment vertical="center"/>
      <protection hidden="1"/>
    </xf>
    <xf numFmtId="0" fontId="21" fillId="0" borderId="0" xfId="0" applyFont="1" applyAlignment="1" applyProtection="1">
      <protection hidden="1"/>
    </xf>
    <xf numFmtId="0" fontId="27" fillId="3" borderId="0" xfId="0" applyFont="1" applyFill="1" applyBorder="1" applyAlignment="1" applyProtection="1">
      <protection hidden="1"/>
    </xf>
    <xf numFmtId="0" fontId="27" fillId="3" borderId="0" xfId="0" applyFont="1" applyFill="1" applyBorder="1" applyAlignment="1" applyProtection="1">
      <alignment horizontal="center" vertical="top"/>
      <protection hidden="1"/>
    </xf>
    <xf numFmtId="0" fontId="27" fillId="3" borderId="9" xfId="0" applyFont="1" applyFill="1" applyBorder="1" applyAlignment="1" applyProtection="1">
      <protection hidden="1"/>
    </xf>
    <xf numFmtId="0" fontId="4" fillId="3" borderId="0" xfId="0" applyFont="1" applyFill="1" applyBorder="1" applyAlignment="1" applyProtection="1">
      <alignment vertical="center" wrapText="1"/>
      <protection hidden="1"/>
    </xf>
    <xf numFmtId="0" fontId="45" fillId="0" borderId="0" xfId="0" applyFont="1" applyBorder="1" applyAlignment="1" applyProtection="1">
      <alignment horizontal="justify" vertical="center"/>
      <protection hidden="1"/>
    </xf>
    <xf numFmtId="0" fontId="8" fillId="3" borderId="0" xfId="0" applyFont="1" applyFill="1" applyBorder="1" applyAlignment="1" applyProtection="1">
      <alignment horizontal="center" vertical="center" wrapText="1"/>
      <protection hidden="1"/>
    </xf>
    <xf numFmtId="0" fontId="39" fillId="3" borderId="0" xfId="0" applyFont="1" applyFill="1" applyBorder="1" applyAlignment="1" applyProtection="1">
      <alignment horizontal="left"/>
      <protection hidden="1"/>
    </xf>
    <xf numFmtId="0" fontId="2" fillId="3" borderId="9" xfId="0" applyFont="1" applyFill="1" applyBorder="1" applyAlignment="1" applyProtection="1">
      <alignment vertical="center"/>
      <protection hidden="1"/>
    </xf>
    <xf numFmtId="0" fontId="53" fillId="3" borderId="0" xfId="0" applyFont="1" applyFill="1" applyBorder="1" applyAlignment="1" applyProtection="1">
      <alignment vertical="center" wrapText="1"/>
      <protection hidden="1"/>
    </xf>
    <xf numFmtId="0" fontId="8" fillId="3" borderId="0" xfId="0" applyFont="1" applyFill="1" applyBorder="1" applyAlignment="1" applyProtection="1">
      <alignment horizontal="left" vertical="center" wrapText="1"/>
      <protection hidden="1"/>
    </xf>
    <xf numFmtId="0" fontId="38" fillId="3" borderId="0" xfId="2" applyFont="1" applyFill="1" applyBorder="1" applyAlignment="1" applyProtection="1">
      <alignment vertical="center"/>
      <protection hidden="1"/>
    </xf>
    <xf numFmtId="0" fontId="47" fillId="0" borderId="14" xfId="0" applyFont="1" applyBorder="1" applyAlignment="1" applyProtection="1">
      <alignment horizontal="center" vertical="center" wrapText="1"/>
      <protection hidden="1"/>
    </xf>
    <xf numFmtId="0" fontId="33" fillId="3" borderId="14" xfId="0" applyFont="1" applyFill="1" applyBorder="1" applyAlignment="1" applyProtection="1">
      <alignment horizontal="center"/>
      <protection hidden="1"/>
    </xf>
    <xf numFmtId="0" fontId="36" fillId="3" borderId="14" xfId="0" applyFont="1" applyFill="1" applyBorder="1" applyAlignment="1" applyProtection="1">
      <alignment horizontal="center"/>
      <protection hidden="1"/>
    </xf>
    <xf numFmtId="0" fontId="50" fillId="0" borderId="1" xfId="0" applyFont="1" applyBorder="1" applyAlignment="1" applyProtection="1">
      <alignment horizontal="center" vertical="center" wrapText="1"/>
      <protection hidden="1"/>
    </xf>
    <xf numFmtId="0" fontId="34" fillId="0" borderId="1" xfId="0" applyFont="1" applyBorder="1" applyAlignment="1" applyProtection="1">
      <alignment horizontal="center" vertical="center" wrapText="1"/>
      <protection hidden="1"/>
    </xf>
    <xf numFmtId="0" fontId="17" fillId="0" borderId="0" xfId="0" applyFont="1" applyBorder="1" applyAlignment="1" applyProtection="1">
      <alignment vertical="center" wrapText="1"/>
      <protection hidden="1"/>
    </xf>
    <xf numFmtId="168" fontId="34" fillId="0" borderId="1" xfId="0" applyNumberFormat="1" applyFont="1" applyBorder="1" applyAlignment="1" applyProtection="1">
      <alignment horizontal="center" vertical="center" wrapText="1"/>
      <protection hidden="1"/>
    </xf>
    <xf numFmtId="0" fontId="17" fillId="0" borderId="54" xfId="0" applyFont="1" applyBorder="1" applyAlignment="1" applyProtection="1">
      <alignment horizontal="left" vertical="center" wrapText="1"/>
      <protection hidden="1"/>
    </xf>
    <xf numFmtId="0" fontId="40" fillId="0" borderId="54" xfId="0" applyFont="1" applyFill="1" applyBorder="1" applyAlignment="1" applyProtection="1">
      <alignment horizontal="center"/>
      <protection hidden="1"/>
    </xf>
    <xf numFmtId="168" fontId="17" fillId="0" borderId="54" xfId="0" applyNumberFormat="1" applyFont="1" applyBorder="1" applyAlignment="1" applyProtection="1">
      <alignment horizontal="center" vertical="center" wrapText="1"/>
      <protection hidden="1"/>
    </xf>
    <xf numFmtId="0" fontId="38" fillId="3" borderId="12" xfId="2" applyFont="1" applyFill="1" applyBorder="1" applyAlignment="1" applyProtection="1">
      <alignment horizontal="left"/>
      <protection hidden="1"/>
    </xf>
    <xf numFmtId="0" fontId="41" fillId="3" borderId="12" xfId="2" applyFont="1" applyFill="1" applyBorder="1" applyAlignment="1" applyProtection="1">
      <alignment horizontal="left"/>
      <protection hidden="1"/>
    </xf>
    <xf numFmtId="0" fontId="41" fillId="3" borderId="11" xfId="2" applyFont="1" applyFill="1" applyBorder="1" applyAlignment="1" applyProtection="1">
      <alignment horizontal="left"/>
      <protection hidden="1"/>
    </xf>
    <xf numFmtId="1" fontId="54" fillId="3" borderId="1" xfId="2" applyNumberFormat="1" applyFont="1" applyFill="1" applyBorder="1" applyAlignment="1" applyProtection="1">
      <alignment horizontal="center"/>
      <protection hidden="1"/>
    </xf>
    <xf numFmtId="0" fontId="35" fillId="3" borderId="0" xfId="0" applyFont="1" applyFill="1" applyAlignment="1" applyProtection="1">
      <protection hidden="1"/>
    </xf>
    <xf numFmtId="0" fontId="35" fillId="3" borderId="7" xfId="0" applyFont="1" applyFill="1" applyBorder="1" applyAlignment="1" applyProtection="1">
      <protection hidden="1"/>
    </xf>
    <xf numFmtId="0" fontId="50" fillId="0" borderId="1" xfId="2" applyFont="1" applyFill="1" applyBorder="1" applyAlignment="1" applyProtection="1">
      <alignment horizontal="left" vertical="center"/>
      <protection hidden="1"/>
    </xf>
    <xf numFmtId="4" fontId="50" fillId="0" borderId="1" xfId="4" applyNumberFormat="1" applyFont="1" applyFill="1" applyBorder="1" applyAlignment="1" applyProtection="1">
      <alignment horizontal="center" vertical="center"/>
      <protection hidden="1"/>
    </xf>
    <xf numFmtId="0" fontId="35" fillId="3" borderId="9" xfId="0" applyFont="1" applyFill="1" applyBorder="1" applyAlignment="1" applyProtection="1">
      <protection hidden="1"/>
    </xf>
    <xf numFmtId="0" fontId="47" fillId="9" borderId="12" xfId="2" applyFont="1" applyFill="1" applyBorder="1" applyAlignment="1" applyProtection="1">
      <alignment horizontal="center" vertical="center"/>
      <protection hidden="1"/>
    </xf>
    <xf numFmtId="0" fontId="47" fillId="9" borderId="12" xfId="2" applyFont="1" applyFill="1" applyBorder="1" applyAlignment="1" applyProtection="1">
      <alignment horizontal="center"/>
      <protection hidden="1"/>
    </xf>
    <xf numFmtId="0" fontId="47" fillId="9" borderId="11" xfId="2" applyFont="1" applyFill="1" applyBorder="1" applyAlignment="1" applyProtection="1">
      <alignment horizontal="center"/>
      <protection hidden="1"/>
    </xf>
    <xf numFmtId="0" fontId="6" fillId="0" borderId="9" xfId="2" applyFont="1" applyFill="1" applyBorder="1" applyAlignment="1" applyProtection="1">
      <alignment horizontal="center"/>
      <protection hidden="1"/>
    </xf>
    <xf numFmtId="0" fontId="2" fillId="0" borderId="0" xfId="0" applyFont="1" applyFill="1" applyAlignment="1" applyProtection="1">
      <protection hidden="1"/>
    </xf>
    <xf numFmtId="0" fontId="2" fillId="0" borderId="7" xfId="0" applyFont="1" applyFill="1" applyBorder="1" applyAlignment="1" applyProtection="1">
      <protection hidden="1"/>
    </xf>
    <xf numFmtId="0" fontId="50" fillId="0" borderId="14" xfId="2" applyFont="1" applyFill="1" applyBorder="1" applyAlignment="1" applyProtection="1">
      <alignment horizontal="left" vertical="center"/>
      <protection hidden="1"/>
    </xf>
    <xf numFmtId="0" fontId="50" fillId="3" borderId="1" xfId="2" applyFont="1" applyFill="1" applyBorder="1" applyAlignment="1" applyProtection="1">
      <alignment horizontal="left" vertical="center"/>
      <protection hidden="1"/>
    </xf>
    <xf numFmtId="3" fontId="47" fillId="0" borderId="1" xfId="4" applyNumberFormat="1" applyFont="1" applyFill="1" applyBorder="1" applyAlignment="1" applyProtection="1">
      <alignment horizontal="center" vertical="center"/>
      <protection hidden="1"/>
    </xf>
    <xf numFmtId="0" fontId="48" fillId="0" borderId="9" xfId="2" applyFont="1" applyFill="1" applyBorder="1" applyAlignment="1" applyProtection="1">
      <alignment horizontal="center"/>
      <protection hidden="1"/>
    </xf>
    <xf numFmtId="3" fontId="50" fillId="0" borderId="1" xfId="4" applyNumberFormat="1" applyFont="1" applyFill="1" applyBorder="1" applyAlignment="1" applyProtection="1">
      <alignment horizontal="center" vertical="center"/>
      <protection hidden="1"/>
    </xf>
    <xf numFmtId="3" fontId="6" fillId="0" borderId="9" xfId="4" applyNumberFormat="1" applyFont="1" applyFill="1" applyBorder="1" applyAlignment="1" applyProtection="1">
      <alignment horizontal="center" vertical="center"/>
      <protection hidden="1"/>
    </xf>
    <xf numFmtId="0" fontId="5" fillId="0" borderId="0" xfId="0" applyFont="1" applyFill="1" applyAlignment="1" applyProtection="1">
      <protection hidden="1"/>
    </xf>
    <xf numFmtId="0" fontId="5" fillId="0" borderId="7" xfId="0" applyFont="1" applyFill="1" applyBorder="1" applyAlignment="1" applyProtection="1">
      <protection hidden="1"/>
    </xf>
    <xf numFmtId="0" fontId="47" fillId="0" borderId="1" xfId="2" applyFont="1" applyFill="1" applyBorder="1" applyAlignment="1" applyProtection="1">
      <alignment horizontal="left" vertical="center"/>
      <protection hidden="1"/>
    </xf>
    <xf numFmtId="3" fontId="51" fillId="3" borderId="1" xfId="4" applyNumberFormat="1" applyFont="1" applyFill="1" applyBorder="1" applyAlignment="1" applyProtection="1">
      <alignment horizontal="center" vertical="center"/>
      <protection hidden="1"/>
    </xf>
    <xf numFmtId="0" fontId="5" fillId="0" borderId="9" xfId="0" applyFont="1" applyFill="1" applyBorder="1" applyAlignment="1" applyProtection="1">
      <protection hidden="1"/>
    </xf>
    <xf numFmtId="3" fontId="51" fillId="0" borderId="1" xfId="4" applyNumberFormat="1" applyFont="1" applyFill="1" applyBorder="1" applyAlignment="1" applyProtection="1">
      <alignment horizontal="center" vertical="center"/>
      <protection hidden="1"/>
    </xf>
    <xf numFmtId="0" fontId="35" fillId="3" borderId="6" xfId="0" applyFont="1" applyFill="1" applyBorder="1" applyAlignment="1" applyProtection="1">
      <protection hidden="1"/>
    </xf>
    <xf numFmtId="3" fontId="35" fillId="3" borderId="6" xfId="0" applyNumberFormat="1" applyFont="1" applyFill="1" applyBorder="1" applyAlignment="1" applyProtection="1">
      <protection hidden="1"/>
    </xf>
    <xf numFmtId="0" fontId="43" fillId="0" borderId="0" xfId="0" applyFont="1" applyAlignment="1" applyProtection="1">
      <alignment horizontal="justify" vertical="center"/>
      <protection hidden="1"/>
    </xf>
    <xf numFmtId="0" fontId="43" fillId="0" borderId="0" xfId="0" applyFont="1" applyAlignment="1" applyProtection="1">
      <protection hidden="1"/>
    </xf>
    <xf numFmtId="165" fontId="35" fillId="3" borderId="0" xfId="1" applyNumberFormat="1" applyFont="1" applyFill="1" applyAlignment="1"/>
    <xf numFmtId="0" fontId="26" fillId="3" borderId="0" xfId="0" applyFont="1" applyFill="1" applyBorder="1" applyAlignment="1" applyProtection="1">
      <protection hidden="1"/>
    </xf>
    <xf numFmtId="0" fontId="26" fillId="3" borderId="0" xfId="0" applyFont="1" applyFill="1" applyBorder="1" applyAlignment="1" applyProtection="1">
      <alignment horizontal="center" vertical="top"/>
      <protection hidden="1"/>
    </xf>
    <xf numFmtId="0" fontId="5" fillId="3" borderId="0" xfId="0" applyFont="1" applyFill="1" applyBorder="1" applyAlignment="1" applyProtection="1">
      <protection hidden="1"/>
    </xf>
    <xf numFmtId="165" fontId="2" fillId="3" borderId="0" xfId="0" applyNumberFormat="1" applyFont="1" applyFill="1" applyBorder="1" applyAlignment="1" applyProtection="1">
      <protection hidden="1"/>
    </xf>
    <xf numFmtId="0" fontId="2" fillId="3" borderId="0"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center"/>
      <protection hidden="1"/>
    </xf>
    <xf numFmtId="0" fontId="39" fillId="3" borderId="0" xfId="0" applyFont="1" applyFill="1" applyBorder="1" applyAlignment="1" applyProtection="1">
      <alignment vertical="center"/>
      <protection hidden="1"/>
    </xf>
    <xf numFmtId="0" fontId="15" fillId="0" borderId="0" xfId="0" applyFont="1" applyBorder="1" applyAlignment="1" applyProtection="1">
      <protection hidden="1"/>
    </xf>
    <xf numFmtId="0" fontId="2" fillId="0" borderId="1" xfId="0" applyFont="1" applyFill="1" applyBorder="1" applyAlignment="1" applyProtection="1">
      <alignment horizontal="center"/>
      <protection hidden="1"/>
    </xf>
    <xf numFmtId="10" fontId="20" fillId="3" borderId="0" xfId="0" applyNumberFormat="1" applyFont="1" applyFill="1" applyBorder="1" applyAlignment="1" applyProtection="1">
      <protection hidden="1"/>
    </xf>
    <xf numFmtId="0" fontId="31" fillId="4" borderId="10" xfId="0" applyFont="1" applyFill="1" applyBorder="1" applyAlignment="1" applyProtection="1">
      <alignment horizontal="left" indent="1"/>
      <protection hidden="1"/>
    </xf>
    <xf numFmtId="0" fontId="3" fillId="4" borderId="12" xfId="0" applyFont="1" applyFill="1" applyBorder="1" applyAlignment="1" applyProtection="1">
      <alignment horizontal="center"/>
      <protection hidden="1"/>
    </xf>
    <xf numFmtId="0" fontId="3" fillId="4" borderId="12" xfId="0" applyFont="1" applyFill="1" applyBorder="1" applyAlignment="1" applyProtection="1">
      <protection hidden="1"/>
    </xf>
    <xf numFmtId="0" fontId="3" fillId="4" borderId="11" xfId="0" applyFont="1" applyFill="1" applyBorder="1" applyAlignment="1" applyProtection="1">
      <protection hidden="1"/>
    </xf>
    <xf numFmtId="0" fontId="3" fillId="4" borderId="9" xfId="0" applyFont="1" applyFill="1" applyBorder="1" applyAlignment="1" applyProtection="1">
      <protection hidden="1"/>
    </xf>
    <xf numFmtId="0" fontId="35" fillId="6" borderId="14" xfId="0" applyFont="1" applyFill="1" applyBorder="1" applyAlignment="1" applyProtection="1">
      <alignment horizontal="center"/>
      <protection hidden="1"/>
    </xf>
    <xf numFmtId="0" fontId="36" fillId="6" borderId="14" xfId="0" applyFont="1" applyFill="1" applyBorder="1" applyAlignment="1" applyProtection="1">
      <alignment horizontal="center"/>
      <protection hidden="1"/>
    </xf>
    <xf numFmtId="172" fontId="36" fillId="6" borderId="14" xfId="0" applyNumberFormat="1" applyFont="1" applyFill="1" applyBorder="1" applyAlignment="1" applyProtection="1">
      <alignment horizontal="center"/>
      <protection hidden="1"/>
    </xf>
    <xf numFmtId="0" fontId="36" fillId="6" borderId="9" xfId="0" applyFont="1" applyFill="1" applyBorder="1" applyAlignment="1" applyProtection="1">
      <alignment horizontal="center"/>
      <protection hidden="1"/>
    </xf>
    <xf numFmtId="0" fontId="35" fillId="6" borderId="1" xfId="0" applyFont="1" applyFill="1" applyBorder="1" applyAlignment="1" applyProtection="1">
      <alignment horizontal="center"/>
      <protection hidden="1"/>
    </xf>
    <xf numFmtId="0" fontId="33" fillId="6" borderId="1" xfId="0" applyFont="1" applyFill="1" applyBorder="1" applyAlignment="1" applyProtection="1">
      <alignment horizontal="left" vertical="center" wrapText="1" indent="1"/>
      <protection hidden="1"/>
    </xf>
    <xf numFmtId="3" fontId="33" fillId="6" borderId="1" xfId="0" applyNumberFormat="1" applyFont="1" applyFill="1" applyBorder="1" applyAlignment="1" applyProtection="1">
      <alignment horizontal="center" vertical="center" wrapText="1"/>
      <protection hidden="1"/>
    </xf>
    <xf numFmtId="165" fontId="36" fillId="0" borderId="9" xfId="1" applyNumberFormat="1" applyFont="1" applyFill="1" applyBorder="1" applyAlignment="1" applyProtection="1">
      <alignment horizontal="center"/>
      <protection hidden="1"/>
    </xf>
    <xf numFmtId="0" fontId="35" fillId="0" borderId="1" xfId="0" applyFont="1" applyFill="1" applyBorder="1" applyAlignment="1" applyProtection="1">
      <alignment horizontal="left" indent="3"/>
      <protection hidden="1"/>
    </xf>
    <xf numFmtId="3" fontId="35" fillId="0" borderId="1" xfId="1" applyNumberFormat="1" applyFont="1" applyFill="1" applyBorder="1" applyAlignment="1" applyProtection="1">
      <alignment horizontal="center"/>
      <protection hidden="1"/>
    </xf>
    <xf numFmtId="165" fontId="35" fillId="0" borderId="9" xfId="1"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3" fontId="33" fillId="0" borderId="1" xfId="0" applyNumberFormat="1" applyFont="1" applyFill="1" applyBorder="1" applyAlignment="1" applyProtection="1">
      <alignment horizontal="center"/>
      <protection hidden="1"/>
    </xf>
    <xf numFmtId="3" fontId="33" fillId="0" borderId="9" xfId="0" applyNumberFormat="1" applyFont="1" applyFill="1" applyBorder="1" applyAlignment="1" applyProtection="1">
      <alignment horizontal="center"/>
      <protection hidden="1"/>
    </xf>
    <xf numFmtId="165" fontId="35" fillId="3" borderId="0" xfId="1" applyNumberFormat="1" applyFont="1" applyFill="1" applyAlignment="1" applyProtection="1">
      <protection hidden="1"/>
    </xf>
    <xf numFmtId="165" fontId="35" fillId="3" borderId="7" xfId="1" applyNumberFormat="1" applyFont="1" applyFill="1" applyBorder="1" applyAlignment="1" applyProtection="1">
      <protection hidden="1"/>
    </xf>
    <xf numFmtId="165" fontId="35" fillId="6" borderId="1" xfId="1" applyNumberFormat="1" applyFont="1" applyFill="1" applyBorder="1" applyAlignment="1" applyProtection="1">
      <alignment horizontal="right"/>
      <protection hidden="1"/>
    </xf>
    <xf numFmtId="165" fontId="35" fillId="0" borderId="1" xfId="1" applyNumberFormat="1" applyFont="1" applyFill="1" applyBorder="1" applyAlignment="1" applyProtection="1">
      <alignment horizontal="center" vertical="center"/>
      <protection hidden="1"/>
    </xf>
    <xf numFmtId="165" fontId="34" fillId="7" borderId="1" xfId="1" applyNumberFormat="1" applyFont="1" applyFill="1" applyBorder="1" applyAlignment="1" applyProtection="1">
      <alignment horizontal="center" vertical="center"/>
      <protection hidden="1"/>
    </xf>
    <xf numFmtId="165" fontId="34" fillId="6" borderId="9" xfId="1" applyNumberFormat="1" applyFont="1" applyFill="1" applyBorder="1" applyAlignment="1" applyProtection="1">
      <alignment horizontal="center"/>
      <protection hidden="1"/>
    </xf>
    <xf numFmtId="165" fontId="35" fillId="3" borderId="9" xfId="1" applyNumberFormat="1" applyFont="1" applyFill="1" applyBorder="1" applyAlignment="1" applyProtection="1">
      <protection hidden="1"/>
    </xf>
    <xf numFmtId="165" fontId="35" fillId="6" borderId="1" xfId="1" applyNumberFormat="1" applyFont="1" applyFill="1" applyBorder="1" applyAlignment="1" applyProtection="1">
      <alignment horizontal="center"/>
      <protection hidden="1"/>
    </xf>
    <xf numFmtId="165" fontId="35" fillId="6" borderId="1" xfId="1" applyNumberFormat="1" applyFont="1" applyFill="1" applyBorder="1" applyAlignment="1" applyProtection="1">
      <alignment horizontal="center" vertical="center"/>
      <protection hidden="1"/>
    </xf>
    <xf numFmtId="165" fontId="35" fillId="6" borderId="1" xfId="1" applyNumberFormat="1" applyFont="1" applyFill="1" applyBorder="1" applyAlignment="1" applyProtection="1">
      <alignment horizontal="center" wrapText="1"/>
      <protection hidden="1"/>
    </xf>
    <xf numFmtId="0" fontId="36" fillId="6" borderId="0" xfId="0" applyFont="1" applyFill="1" applyBorder="1" applyAlignment="1" applyProtection="1">
      <alignment horizontal="left"/>
      <protection hidden="1"/>
    </xf>
    <xf numFmtId="0" fontId="36" fillId="6" borderId="0" xfId="0" applyFont="1" applyFill="1" applyBorder="1" applyAlignment="1" applyProtection="1">
      <alignment horizontal="center"/>
      <protection hidden="1"/>
    </xf>
    <xf numFmtId="0" fontId="33" fillId="6" borderId="0" xfId="0" applyFont="1" applyFill="1" applyBorder="1" applyAlignment="1" applyProtection="1">
      <alignment horizontal="left"/>
      <protection hidden="1"/>
    </xf>
    <xf numFmtId="0" fontId="33" fillId="6" borderId="0" xfId="0" applyFont="1" applyFill="1" applyBorder="1" applyAlignment="1" applyProtection="1">
      <alignment horizontal="center"/>
      <protection hidden="1"/>
    </xf>
    <xf numFmtId="171" fontId="35" fillId="3" borderId="1" xfId="0" applyNumberFormat="1" applyFont="1" applyFill="1" applyBorder="1" applyAlignment="1" applyProtection="1">
      <alignment horizontal="center" vertical="center"/>
      <protection hidden="1"/>
    </xf>
    <xf numFmtId="3" fontId="35" fillId="3" borderId="1" xfId="0" applyNumberFormat="1" applyFont="1" applyFill="1" applyBorder="1" applyAlignment="1" applyProtection="1">
      <alignment horizontal="center" vertical="center"/>
      <protection hidden="1"/>
    </xf>
    <xf numFmtId="168" fontId="34" fillId="0" borderId="1" xfId="0" applyNumberFormat="1" applyFont="1" applyFill="1" applyBorder="1" applyAlignment="1" applyProtection="1">
      <alignment horizontal="center" vertical="center"/>
      <protection hidden="1"/>
    </xf>
    <xf numFmtId="0" fontId="35" fillId="3" borderId="1" xfId="0" applyFont="1" applyFill="1" applyBorder="1" applyAlignment="1" applyProtection="1">
      <alignment horizontal="center" vertical="center"/>
      <protection hidden="1"/>
    </xf>
    <xf numFmtId="4" fontId="35" fillId="3" borderId="1" xfId="0" applyNumberFormat="1" applyFont="1" applyFill="1" applyBorder="1" applyAlignment="1" applyProtection="1">
      <alignment horizontal="center" vertical="center"/>
      <protection hidden="1"/>
    </xf>
    <xf numFmtId="10" fontId="35" fillId="3" borderId="1" xfId="0" applyNumberFormat="1" applyFont="1" applyFill="1" applyBorder="1" applyAlignment="1" applyProtection="1">
      <alignment horizontal="center" vertical="center"/>
      <protection hidden="1"/>
    </xf>
    <xf numFmtId="0" fontId="5" fillId="6" borderId="0" xfId="0" applyFont="1" applyFill="1" applyBorder="1" applyAlignment="1" applyProtection="1">
      <alignment horizontal="left"/>
      <protection hidden="1"/>
    </xf>
    <xf numFmtId="0" fontId="5" fillId="6" borderId="0" xfId="0" applyFont="1" applyFill="1" applyBorder="1" applyAlignment="1" applyProtection="1">
      <alignment horizontal="center"/>
      <protection hidden="1"/>
    </xf>
    <xf numFmtId="169" fontId="6" fillId="6" borderId="0" xfId="0" applyNumberFormat="1" applyFont="1" applyFill="1" applyBorder="1" applyAlignment="1" applyProtection="1">
      <alignment horizontal="center"/>
      <protection hidden="1"/>
    </xf>
    <xf numFmtId="10" fontId="6" fillId="6" borderId="0" xfId="0" applyNumberFormat="1" applyFont="1" applyFill="1" applyBorder="1" applyAlignment="1" applyProtection="1">
      <alignment horizontal="center"/>
      <protection hidden="1"/>
    </xf>
    <xf numFmtId="0" fontId="6" fillId="6" borderId="0" xfId="0" applyFont="1" applyFill="1" applyBorder="1" applyAlignment="1" applyProtection="1">
      <alignment horizontal="center"/>
      <protection hidden="1"/>
    </xf>
    <xf numFmtId="0" fontId="4" fillId="3" borderId="0" xfId="0" applyFont="1" applyFill="1" applyAlignment="1" applyProtection="1">
      <alignment horizontal="center"/>
      <protection hidden="1"/>
    </xf>
    <xf numFmtId="0" fontId="4" fillId="3" borderId="0" xfId="0" applyFont="1" applyFill="1" applyAlignment="1" applyProtection="1">
      <protection hidden="1"/>
    </xf>
    <xf numFmtId="0" fontId="1" fillId="0" borderId="0" xfId="2" applyFont="1" applyAlignment="1" applyProtection="1">
      <protection hidden="1"/>
    </xf>
    <xf numFmtId="0" fontId="1" fillId="0" borderId="2" xfId="2" applyFont="1" applyBorder="1" applyAlignment="1" applyProtection="1">
      <protection hidden="1"/>
    </xf>
    <xf numFmtId="0" fontId="1" fillId="0" borderId="3" xfId="2" applyFont="1" applyBorder="1" applyAlignment="1" applyProtection="1">
      <protection hidden="1"/>
    </xf>
    <xf numFmtId="0" fontId="1" fillId="0" borderId="4" xfId="2" applyFont="1" applyBorder="1" applyAlignment="1" applyProtection="1">
      <protection hidden="1"/>
    </xf>
    <xf numFmtId="0" fontId="1" fillId="0" borderId="7" xfId="2" applyFont="1" applyBorder="1" applyAlignment="1" applyProtection="1">
      <protection hidden="1"/>
    </xf>
    <xf numFmtId="0" fontId="1" fillId="0" borderId="0" xfId="2" applyFont="1" applyBorder="1" applyAlignment="1" applyProtection="1">
      <protection hidden="1"/>
    </xf>
    <xf numFmtId="0" fontId="1" fillId="0" borderId="9" xfId="2" applyFont="1" applyBorder="1" applyAlignment="1" applyProtection="1">
      <protection hidden="1"/>
    </xf>
    <xf numFmtId="0" fontId="2" fillId="3" borderId="9" xfId="0" applyFont="1" applyFill="1" applyBorder="1" applyAlignment="1" applyProtection="1">
      <alignment horizontal="left" vertical="center" wrapText="1"/>
      <protection hidden="1"/>
    </xf>
    <xf numFmtId="0" fontId="36" fillId="0" borderId="1" xfId="2" applyFont="1" applyBorder="1" applyAlignment="1" applyProtection="1">
      <alignment horizontal="center" vertical="center" wrapText="1"/>
      <protection hidden="1"/>
    </xf>
    <xf numFmtId="0" fontId="1" fillId="0" borderId="0" xfId="2" applyFont="1" applyAlignment="1" applyProtection="1">
      <alignment wrapText="1"/>
      <protection hidden="1"/>
    </xf>
    <xf numFmtId="0" fontId="1" fillId="0" borderId="5" xfId="2" applyFont="1" applyBorder="1" applyAlignment="1" applyProtection="1">
      <protection hidden="1"/>
    </xf>
    <xf numFmtId="0" fontId="1" fillId="0" borderId="6" xfId="2" applyFont="1" applyBorder="1" applyAlignment="1" applyProtection="1">
      <protection hidden="1"/>
    </xf>
    <xf numFmtId="0" fontId="1" fillId="0" borderId="8" xfId="2" applyFont="1" applyBorder="1" applyAlignment="1" applyProtection="1">
      <protection hidden="1"/>
    </xf>
    <xf numFmtId="0" fontId="1" fillId="0" borderId="0" xfId="2" applyFont="1" applyAlignment="1" applyProtection="1">
      <protection locked="0" hidden="1"/>
    </xf>
    <xf numFmtId="0" fontId="2" fillId="0" borderId="0" xfId="0" applyFont="1" applyFill="1" applyBorder="1" applyProtection="1">
      <protection hidden="1"/>
    </xf>
    <xf numFmtId="0" fontId="32" fillId="0" borderId="0" xfId="0" applyFont="1" applyFill="1" applyBorder="1" applyAlignment="1" applyProtection="1">
      <alignment vertical="top"/>
      <protection hidden="1"/>
    </xf>
    <xf numFmtId="0" fontId="16" fillId="3" borderId="9" xfId="0" applyFont="1" applyFill="1" applyBorder="1" applyAlignment="1" applyProtection="1">
      <alignment vertical="center" wrapText="1"/>
      <protection hidden="1"/>
    </xf>
    <xf numFmtId="0" fontId="33" fillId="0" borderId="0" xfId="0" applyFont="1" applyFill="1" applyBorder="1" applyAlignment="1" applyProtection="1">
      <alignment horizontal="center" vertical="top"/>
      <protection hidden="1"/>
    </xf>
    <xf numFmtId="0" fontId="33" fillId="0" borderId="9" xfId="2" applyFont="1" applyFill="1" applyBorder="1" applyAlignment="1" applyProtection="1">
      <alignment horizontal="left" vertical="top"/>
      <protection hidden="1"/>
    </xf>
    <xf numFmtId="0" fontId="33" fillId="0" borderId="9" xfId="2" applyFont="1" applyFill="1" applyBorder="1" applyAlignment="1" applyProtection="1">
      <alignment horizontal="left" vertical="top" wrapText="1"/>
      <protection hidden="1"/>
    </xf>
    <xf numFmtId="0" fontId="4" fillId="0" borderId="7" xfId="0" applyFont="1" applyFill="1" applyBorder="1" applyAlignment="1" applyProtection="1">
      <alignment horizontal="left" vertical="center"/>
      <protection hidden="1"/>
    </xf>
    <xf numFmtId="0" fontId="33" fillId="0" borderId="14" xfId="0" applyFont="1" applyFill="1" applyBorder="1" applyAlignment="1" applyProtection="1">
      <alignment horizontal="center" vertical="center" wrapText="1"/>
      <protection hidden="1"/>
    </xf>
    <xf numFmtId="0" fontId="35" fillId="3" borderId="1" xfId="0" applyFont="1" applyFill="1" applyBorder="1" applyAlignment="1" applyProtection="1">
      <alignment horizontal="center" vertical="center" wrapText="1"/>
      <protection hidden="1"/>
    </xf>
    <xf numFmtId="0" fontId="2" fillId="3" borderId="0" xfId="0" applyFont="1" applyFill="1" applyBorder="1" applyAlignment="1" applyProtection="1">
      <alignment wrapText="1"/>
      <protection hidden="1"/>
    </xf>
    <xf numFmtId="0" fontId="4" fillId="0" borderId="7" xfId="0" applyFont="1" applyFill="1" applyBorder="1" applyAlignment="1" applyProtection="1">
      <alignment horizontal="left" vertical="center" wrapText="1"/>
      <protection hidden="1"/>
    </xf>
    <xf numFmtId="0" fontId="4" fillId="0" borderId="9" xfId="0" applyFont="1" applyFill="1" applyBorder="1" applyAlignment="1" applyProtection="1">
      <alignment horizontal="left" vertical="center" wrapText="1"/>
      <protection hidden="1"/>
    </xf>
    <xf numFmtId="0" fontId="37" fillId="0" borderId="0" xfId="2" applyFont="1" applyBorder="1" applyAlignment="1" applyProtection="1">
      <protection hidden="1"/>
    </xf>
    <xf numFmtId="0" fontId="4" fillId="0" borderId="5" xfId="0" applyFont="1" applyFill="1" applyBorder="1" applyAlignment="1" applyProtection="1">
      <alignment horizontal="left" vertical="center"/>
      <protection hidden="1"/>
    </xf>
    <xf numFmtId="0" fontId="4" fillId="0" borderId="6" xfId="0" applyFont="1" applyFill="1" applyBorder="1" applyAlignment="1" applyProtection="1">
      <alignment horizontal="left" vertical="center"/>
      <protection hidden="1"/>
    </xf>
    <xf numFmtId="0" fontId="2" fillId="3" borderId="2" xfId="2" applyFont="1" applyFill="1" applyBorder="1" applyAlignment="1" applyProtection="1">
      <protection hidden="1"/>
    </xf>
    <xf numFmtId="0" fontId="2" fillId="3" borderId="3" xfId="2" applyFont="1" applyFill="1" applyBorder="1" applyAlignment="1" applyProtection="1">
      <protection hidden="1"/>
    </xf>
    <xf numFmtId="0" fontId="2" fillId="3" borderId="4" xfId="2" applyFont="1" applyFill="1" applyBorder="1" applyAlignment="1" applyProtection="1">
      <protection hidden="1"/>
    </xf>
    <xf numFmtId="0" fontId="25" fillId="3" borderId="7" xfId="2" applyFont="1" applyFill="1" applyBorder="1" applyAlignment="1" applyProtection="1">
      <alignment horizontal="center" vertical="center"/>
      <protection hidden="1"/>
    </xf>
    <xf numFmtId="0" fontId="25" fillId="3" borderId="0" xfId="2" applyFont="1" applyFill="1" applyBorder="1" applyAlignment="1" applyProtection="1">
      <alignment horizontal="center" vertical="center"/>
      <protection hidden="1"/>
    </xf>
    <xf numFmtId="0" fontId="25" fillId="3" borderId="9" xfId="2" applyFont="1" applyFill="1" applyBorder="1" applyAlignment="1" applyProtection="1">
      <alignment horizontal="center" vertical="center"/>
      <protection hidden="1"/>
    </xf>
    <xf numFmtId="0" fontId="2" fillId="3" borderId="7" xfId="2" applyFont="1" applyFill="1" applyBorder="1" applyAlignment="1" applyProtection="1">
      <protection hidden="1"/>
    </xf>
    <xf numFmtId="0" fontId="2" fillId="3" borderId="9" xfId="2" applyFont="1" applyFill="1" applyBorder="1" applyAlignment="1" applyProtection="1">
      <protection hidden="1"/>
    </xf>
    <xf numFmtId="3" fontId="2" fillId="0" borderId="0" xfId="2" applyNumberFormat="1" applyFont="1" applyBorder="1" applyAlignment="1" applyProtection="1">
      <protection hidden="1"/>
    </xf>
    <xf numFmtId="0" fontId="2" fillId="3" borderId="5" xfId="2" applyFont="1" applyFill="1" applyBorder="1" applyAlignment="1" applyProtection="1">
      <protection hidden="1"/>
    </xf>
    <xf numFmtId="0" fontId="2" fillId="3" borderId="6" xfId="2" applyFont="1" applyFill="1" applyBorder="1" applyAlignment="1" applyProtection="1">
      <protection hidden="1"/>
    </xf>
    <xf numFmtId="0" fontId="2" fillId="3" borderId="8" xfId="2" applyFont="1" applyFill="1" applyBorder="1" applyAlignment="1" applyProtection="1">
      <protection hidden="1"/>
    </xf>
    <xf numFmtId="0" fontId="2" fillId="5" borderId="0" xfId="2" applyFont="1" applyFill="1" applyBorder="1" applyAlignment="1" applyProtection="1">
      <alignment vertical="center"/>
      <protection hidden="1"/>
    </xf>
    <xf numFmtId="0" fontId="2" fillId="3" borderId="0" xfId="2" applyFont="1" applyFill="1" applyAlignment="1" applyProtection="1">
      <protection locked="0" hidden="1"/>
    </xf>
    <xf numFmtId="172" fontId="0" fillId="0" borderId="1" xfId="0" applyNumberFormat="1" applyFont="1" applyBorder="1" applyAlignment="1"/>
    <xf numFmtId="9" fontId="0" fillId="0" borderId="0" xfId="0" applyNumberFormat="1" applyFont="1" applyAlignment="1"/>
    <xf numFmtId="172" fontId="0" fillId="0" borderId="0" xfId="0" applyNumberFormat="1" applyFont="1" applyAlignment="1"/>
    <xf numFmtId="3" fontId="34" fillId="3" borderId="1" xfId="1" applyNumberFormat="1" applyFont="1" applyFill="1" applyBorder="1" applyAlignment="1" applyProtection="1">
      <alignment horizontal="center" vertical="center" wrapText="1"/>
      <protection hidden="1"/>
    </xf>
    <xf numFmtId="0" fontId="2" fillId="3" borderId="53" xfId="0" applyFont="1" applyFill="1" applyBorder="1" applyAlignment="1" applyProtection="1">
      <alignment horizontal="center"/>
      <protection hidden="1"/>
    </xf>
    <xf numFmtId="10" fontId="20" fillId="3" borderId="53" xfId="0" applyNumberFormat="1" applyFont="1" applyFill="1" applyBorder="1" applyAlignment="1" applyProtection="1">
      <protection hidden="1"/>
    </xf>
    <xf numFmtId="0" fontId="35" fillId="0" borderId="53" xfId="0" applyFont="1" applyBorder="1" applyAlignment="1" applyProtection="1">
      <alignment vertical="center" wrapText="1"/>
      <protection hidden="1"/>
    </xf>
    <xf numFmtId="3" fontId="34" fillId="0" borderId="1" xfId="4" applyNumberFormat="1" applyFont="1" applyFill="1" applyBorder="1" applyAlignment="1" applyProtection="1">
      <alignment horizontal="center" vertical="center"/>
      <protection hidden="1"/>
    </xf>
    <xf numFmtId="0" fontId="26" fillId="3" borderId="10" xfId="2" applyFont="1" applyFill="1" applyBorder="1" applyAlignment="1" applyProtection="1">
      <alignment horizontal="left" vertical="center"/>
      <protection hidden="1"/>
    </xf>
    <xf numFmtId="172" fontId="33" fillId="3" borderId="14" xfId="2" applyNumberFormat="1" applyFont="1" applyFill="1" applyBorder="1" applyAlignment="1" applyProtection="1">
      <alignment horizontal="center"/>
      <protection hidden="1"/>
    </xf>
    <xf numFmtId="0" fontId="4" fillId="3" borderId="7" xfId="0" applyFont="1" applyFill="1" applyBorder="1" applyAlignment="1" applyProtection="1">
      <protection hidden="1"/>
    </xf>
    <xf numFmtId="0" fontId="4" fillId="3" borderId="0" xfId="0" applyFont="1" applyFill="1" applyAlignment="1"/>
    <xf numFmtId="0" fontId="35" fillId="0" borderId="43" xfId="0" applyFont="1" applyBorder="1" applyAlignment="1" applyProtection="1">
      <alignment horizontal="left" vertical="center" indent="3"/>
      <protection hidden="1"/>
    </xf>
    <xf numFmtId="0" fontId="33" fillId="0" borderId="53" xfId="0" applyFont="1" applyFill="1" applyBorder="1" applyAlignment="1" applyProtection="1">
      <alignment horizontal="center" vertical="top"/>
      <protection hidden="1"/>
    </xf>
    <xf numFmtId="0" fontId="2" fillId="0" borderId="54" xfId="0" applyFont="1" applyFill="1" applyBorder="1" applyAlignment="1" applyProtection="1">
      <protection hidden="1"/>
    </xf>
    <xf numFmtId="0" fontId="2" fillId="3" borderId="56" xfId="0" applyFont="1" applyFill="1" applyBorder="1" applyAlignment="1" applyProtection="1">
      <protection hidden="1"/>
    </xf>
    <xf numFmtId="0" fontId="2" fillId="3" borderId="56" xfId="0" applyFont="1" applyFill="1" applyBorder="1" applyProtection="1">
      <protection hidden="1"/>
    </xf>
    <xf numFmtId="0" fontId="2" fillId="3" borderId="55" xfId="0" applyFont="1" applyFill="1" applyBorder="1" applyProtection="1">
      <protection hidden="1"/>
    </xf>
    <xf numFmtId="0" fontId="2" fillId="3" borderId="55" xfId="0" applyFont="1" applyFill="1" applyBorder="1" applyAlignment="1" applyProtection="1">
      <protection hidden="1"/>
    </xf>
    <xf numFmtId="0" fontId="47" fillId="5" borderId="47" xfId="0" applyFont="1" applyFill="1" applyBorder="1" applyAlignment="1" applyProtection="1">
      <alignment vertical="center" wrapText="1"/>
      <protection hidden="1"/>
    </xf>
    <xf numFmtId="0" fontId="35" fillId="0" borderId="47" xfId="0" applyFont="1" applyBorder="1" applyAlignment="1" applyProtection="1">
      <alignment horizontal="left" vertical="center" indent="3"/>
      <protection hidden="1"/>
    </xf>
    <xf numFmtId="3" fontId="36" fillId="0" borderId="50" xfId="0" applyNumberFormat="1" applyFont="1" applyBorder="1" applyAlignment="1" applyProtection="1">
      <alignment horizontal="center" vertical="center"/>
      <protection hidden="1"/>
    </xf>
    <xf numFmtId="3" fontId="34" fillId="0" borderId="1" xfId="1" applyNumberFormat="1" applyFont="1" applyFill="1" applyBorder="1" applyAlignment="1" applyProtection="1">
      <alignment horizontal="center"/>
      <protection hidden="1"/>
    </xf>
    <xf numFmtId="9" fontId="35" fillId="0" borderId="1" xfId="0" applyNumberFormat="1" applyFont="1" applyFill="1" applyBorder="1" applyAlignment="1" applyProtection="1">
      <alignment horizontal="center" vertical="center"/>
      <protection hidden="1"/>
    </xf>
    <xf numFmtId="3" fontId="35" fillId="0" borderId="11" xfId="0" applyNumberFormat="1"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3" fontId="50" fillId="9" borderId="12" xfId="4" applyNumberFormat="1" applyFont="1" applyFill="1" applyBorder="1" applyAlignment="1" applyProtection="1">
      <alignment horizontal="center" vertical="center"/>
      <protection hidden="1"/>
    </xf>
    <xf numFmtId="3" fontId="50" fillId="9" borderId="11" xfId="4" applyNumberFormat="1" applyFont="1" applyFill="1" applyBorder="1" applyAlignment="1" applyProtection="1">
      <alignment horizontal="center" vertical="center"/>
      <protection hidden="1"/>
    </xf>
    <xf numFmtId="0" fontId="2" fillId="3" borderId="13" xfId="0" applyFont="1" applyFill="1" applyBorder="1" applyAlignment="1" applyProtection="1">
      <protection hidden="1"/>
    </xf>
    <xf numFmtId="0" fontId="2" fillId="3" borderId="41" xfId="0" applyFont="1" applyFill="1" applyBorder="1" applyAlignment="1" applyProtection="1">
      <protection hidden="1"/>
    </xf>
    <xf numFmtId="0" fontId="14" fillId="3" borderId="0" xfId="0" applyFont="1" applyFill="1" applyBorder="1" applyAlignment="1" applyProtection="1">
      <alignment horizontal="center"/>
      <protection hidden="1"/>
    </xf>
    <xf numFmtId="0" fontId="35" fillId="4" borderId="10" xfId="0" applyFont="1" applyFill="1" applyBorder="1" applyAlignment="1" applyProtection="1">
      <alignment horizontal="left" vertical="center" indent="1"/>
      <protection hidden="1"/>
    </xf>
    <xf numFmtId="0" fontId="16" fillId="4" borderId="0" xfId="0" applyFont="1" applyFill="1" applyBorder="1" applyAlignment="1" applyProtection="1">
      <alignment horizontal="left" vertical="center" wrapText="1" indent="2"/>
      <protection hidden="1"/>
    </xf>
    <xf numFmtId="0" fontId="2" fillId="4" borderId="13"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wrapText="1"/>
      <protection hidden="1"/>
    </xf>
    <xf numFmtId="0" fontId="2" fillId="4" borderId="9" xfId="0" applyFont="1" applyFill="1" applyBorder="1" applyAlignment="1" applyProtection="1">
      <alignment horizontal="center" vertical="center" wrapText="1"/>
      <protection hidden="1"/>
    </xf>
    <xf numFmtId="0" fontId="36" fillId="0" borderId="10" xfId="0" applyFont="1" applyFill="1" applyBorder="1" applyAlignment="1" applyProtection="1">
      <alignment horizontal="left" vertical="center"/>
      <protection hidden="1"/>
    </xf>
    <xf numFmtId="0" fontId="35" fillId="0" borderId="10" xfId="0" applyFont="1" applyFill="1" applyBorder="1" applyAlignment="1" applyProtection="1">
      <alignment horizontal="left" vertical="center" indent="2"/>
      <protection hidden="1"/>
    </xf>
    <xf numFmtId="0" fontId="35" fillId="0" borderId="12" xfId="0" applyFont="1" applyFill="1" applyBorder="1" applyAlignment="1" applyProtection="1">
      <alignment horizontal="left" vertical="center" indent="2"/>
      <protection hidden="1"/>
    </xf>
    <xf numFmtId="0" fontId="35" fillId="0" borderId="11" xfId="0" applyFont="1" applyFill="1" applyBorder="1" applyAlignment="1" applyProtection="1">
      <alignment horizontal="left" vertical="center" indent="2"/>
      <protection hidden="1"/>
    </xf>
    <xf numFmtId="0" fontId="47" fillId="9" borderId="10" xfId="2" applyFont="1" applyFill="1" applyBorder="1" applyAlignment="1" applyProtection="1">
      <alignment horizontal="left" vertical="center"/>
      <protection hidden="1"/>
    </xf>
    <xf numFmtId="0" fontId="14" fillId="3" borderId="9" xfId="0" applyFont="1" applyFill="1" applyBorder="1" applyAlignment="1" applyProtection="1">
      <alignment horizontal="center"/>
      <protection hidden="1"/>
    </xf>
    <xf numFmtId="0" fontId="16" fillId="3" borderId="0" xfId="0" applyFont="1" applyFill="1" applyBorder="1" applyAlignment="1" applyProtection="1">
      <alignment horizontal="left" vertical="center" wrapText="1"/>
      <protection hidden="1"/>
    </xf>
    <xf numFmtId="0" fontId="36" fillId="6" borderId="1" xfId="0" applyFont="1" applyFill="1" applyBorder="1" applyAlignment="1" applyProtection="1">
      <alignment horizontal="center"/>
      <protection hidden="1"/>
    </xf>
    <xf numFmtId="0" fontId="39" fillId="3" borderId="0" xfId="0" applyFont="1" applyFill="1" applyBorder="1" applyAlignment="1" applyProtection="1">
      <alignment horizontal="left" vertical="center"/>
      <protection hidden="1"/>
    </xf>
    <xf numFmtId="0" fontId="34" fillId="0" borderId="1" xfId="0" applyFont="1" applyFill="1" applyBorder="1" applyAlignment="1" applyProtection="1">
      <alignment horizontal="center" vertical="center" wrapText="1"/>
      <protection hidden="1"/>
    </xf>
    <xf numFmtId="0" fontId="35" fillId="0" borderId="10" xfId="0" applyFont="1" applyFill="1" applyBorder="1" applyAlignment="1" applyProtection="1">
      <alignment horizontal="left" vertical="center" indent="2"/>
      <protection hidden="1"/>
    </xf>
    <xf numFmtId="0" fontId="5" fillId="3" borderId="0" xfId="0" applyFont="1" applyFill="1" applyAlignment="1" applyProtection="1">
      <protection hidden="1"/>
    </xf>
    <xf numFmtId="0" fontId="46" fillId="0" borderId="0" xfId="0" applyFont="1" applyAlignment="1" applyProtection="1">
      <protection hidden="1"/>
    </xf>
    <xf numFmtId="3" fontId="56" fillId="0" borderId="1" xfId="3" applyNumberFormat="1" applyFont="1" applyFill="1" applyBorder="1" applyAlignment="1" applyProtection="1">
      <alignment horizontal="center" vertical="center"/>
      <protection hidden="1"/>
    </xf>
    <xf numFmtId="168" fontId="34" fillId="9" borderId="12" xfId="2" applyNumberFormat="1" applyFont="1" applyFill="1" applyBorder="1" applyAlignment="1" applyProtection="1">
      <alignment horizontal="center" vertical="center"/>
      <protection hidden="1"/>
    </xf>
    <xf numFmtId="0" fontId="2" fillId="3" borderId="0" xfId="0" applyFont="1" applyFill="1" applyAlignment="1" applyProtection="1">
      <alignment wrapText="1"/>
      <protection hidden="1"/>
    </xf>
    <xf numFmtId="4" fontId="50" fillId="0" borderId="0" xfId="4" applyNumberFormat="1" applyFont="1" applyFill="1" applyBorder="1" applyAlignment="1" applyProtection="1">
      <alignment horizontal="center" vertical="center"/>
      <protection hidden="1"/>
    </xf>
    <xf numFmtId="4" fontId="50" fillId="0" borderId="41" xfId="4" applyNumberFormat="1" applyFont="1" applyFill="1" applyBorder="1" applyAlignment="1" applyProtection="1">
      <alignment horizontal="center" vertical="center"/>
      <protection hidden="1"/>
    </xf>
    <xf numFmtId="3" fontId="34" fillId="0" borderId="1" xfId="3" applyNumberFormat="1" applyFont="1" applyFill="1" applyBorder="1" applyAlignment="1" applyProtection="1">
      <alignment horizontal="center" vertical="center"/>
      <protection locked="0" hidden="1"/>
    </xf>
    <xf numFmtId="3" fontId="34" fillId="0" borderId="11" xfId="1" applyNumberFormat="1" applyFont="1" applyFill="1" applyBorder="1" applyAlignment="1" applyProtection="1">
      <alignment horizontal="center"/>
      <protection locked="0" hidden="1"/>
    </xf>
    <xf numFmtId="168" fontId="34" fillId="0" borderId="12" xfId="0" applyNumberFormat="1" applyFont="1" applyFill="1" applyBorder="1" applyAlignment="1" applyProtection="1">
      <alignment horizontal="center" vertical="center"/>
      <protection locked="0" hidden="1"/>
    </xf>
    <xf numFmtId="0" fontId="35" fillId="4" borderId="10" xfId="0" applyFont="1" applyFill="1" applyBorder="1" applyAlignment="1" applyProtection="1">
      <alignment horizontal="left" vertical="center" indent="1"/>
      <protection hidden="1"/>
    </xf>
    <xf numFmtId="0" fontId="2" fillId="4" borderId="0" xfId="0" applyFont="1" applyFill="1" applyBorder="1" applyAlignment="1" applyProtection="1">
      <alignment horizontal="center" vertical="center" wrapText="1"/>
      <protection hidden="1"/>
    </xf>
    <xf numFmtId="0" fontId="2" fillId="4" borderId="9" xfId="0" applyFont="1" applyFill="1" applyBorder="1" applyAlignment="1" applyProtection="1">
      <alignment horizontal="center" vertical="center" wrapText="1"/>
      <protection hidden="1"/>
    </xf>
    <xf numFmtId="0" fontId="36" fillId="5" borderId="10" xfId="0" applyFont="1" applyFill="1" applyBorder="1" applyAlignment="1" applyProtection="1">
      <alignment horizontal="left" vertical="center" wrapText="1"/>
      <protection hidden="1"/>
    </xf>
    <xf numFmtId="0" fontId="36" fillId="5" borderId="12" xfId="0" applyFont="1" applyFill="1" applyBorder="1" applyAlignment="1" applyProtection="1">
      <alignment horizontal="left" vertical="center" wrapText="1"/>
      <protection hidden="1"/>
    </xf>
    <xf numFmtId="0" fontId="36" fillId="5" borderId="11" xfId="0" applyFont="1" applyFill="1" applyBorder="1" applyAlignment="1" applyProtection="1">
      <alignment horizontal="left" vertical="center" wrapText="1"/>
      <protection hidden="1"/>
    </xf>
    <xf numFmtId="0" fontId="35" fillId="0" borderId="10" xfId="0" applyFont="1" applyFill="1" applyBorder="1" applyAlignment="1" applyProtection="1">
      <alignment horizontal="left" vertical="center" indent="2"/>
      <protection hidden="1"/>
    </xf>
    <xf numFmtId="0" fontId="47" fillId="0" borderId="43" xfId="2" applyFont="1" applyFill="1" applyBorder="1" applyAlignment="1" applyProtection="1">
      <alignment horizontal="center"/>
      <protection hidden="1"/>
    </xf>
    <xf numFmtId="0" fontId="47" fillId="0" borderId="54" xfId="2" applyFont="1" applyFill="1" applyBorder="1" applyAlignment="1" applyProtection="1">
      <alignment horizontal="center"/>
      <protection hidden="1"/>
    </xf>
    <xf numFmtId="0" fontId="47" fillId="0" borderId="46" xfId="2" applyFont="1" applyFill="1" applyBorder="1" applyAlignment="1" applyProtection="1">
      <alignment horizontal="center"/>
      <protection hidden="1"/>
    </xf>
    <xf numFmtId="0" fontId="4" fillId="13" borderId="1" xfId="0" applyFont="1" applyFill="1" applyBorder="1" applyAlignment="1" applyProtection="1">
      <protection hidden="1"/>
    </xf>
    <xf numFmtId="0" fontId="49" fillId="13" borderId="1" xfId="0" applyFont="1" applyFill="1" applyBorder="1" applyAlignment="1" applyProtection="1">
      <alignment horizontal="center"/>
      <protection hidden="1"/>
    </xf>
    <xf numFmtId="0" fontId="2" fillId="13" borderId="1" xfId="0" applyFont="1" applyFill="1" applyBorder="1" applyAlignment="1" applyProtection="1">
      <protection hidden="1"/>
    </xf>
    <xf numFmtId="172" fontId="55" fillId="13" borderId="1" xfId="0" applyNumberFormat="1" applyFont="1" applyFill="1" applyBorder="1" applyAlignment="1" applyProtection="1">
      <alignment horizontal="center" vertical="center"/>
      <protection locked="0" hidden="1"/>
    </xf>
    <xf numFmtId="3" fontId="55" fillId="14" borderId="1" xfId="0" applyNumberFormat="1" applyFont="1" applyFill="1" applyBorder="1" applyAlignment="1" applyProtection="1">
      <alignment horizontal="center" vertical="center"/>
      <protection locked="0" hidden="1"/>
    </xf>
    <xf numFmtId="3" fontId="55" fillId="13" borderId="1" xfId="1" applyNumberFormat="1" applyFont="1" applyFill="1" applyBorder="1" applyAlignment="1" applyProtection="1">
      <alignment horizontal="center" vertical="center"/>
      <protection locked="0" hidden="1"/>
    </xf>
    <xf numFmtId="0" fontId="55" fillId="14" borderId="1" xfId="0" applyFont="1" applyFill="1" applyBorder="1" applyAlignment="1" applyProtection="1">
      <alignment horizontal="center" vertical="center"/>
      <protection locked="0" hidden="1"/>
    </xf>
    <xf numFmtId="0" fontId="35" fillId="4" borderId="12" xfId="0" applyFont="1" applyFill="1" applyBorder="1" applyAlignment="1" applyProtection="1">
      <alignment horizontal="left" vertical="center" indent="1"/>
      <protection hidden="1"/>
    </xf>
    <xf numFmtId="0" fontId="55" fillId="13" borderId="16" xfId="0" applyFont="1" applyFill="1" applyBorder="1" applyAlignment="1" applyProtection="1">
      <alignment horizontal="center" vertical="center"/>
      <protection locked="0" hidden="1"/>
    </xf>
    <xf numFmtId="0" fontId="55" fillId="13" borderId="14" xfId="0" applyFont="1" applyFill="1" applyBorder="1" applyAlignment="1" applyProtection="1">
      <alignment horizontal="center" vertical="center"/>
      <protection locked="0" hidden="1"/>
    </xf>
    <xf numFmtId="0" fontId="55" fillId="0" borderId="1" xfId="0" applyFont="1" applyFill="1" applyBorder="1" applyAlignment="1" applyProtection="1">
      <alignment horizontal="center" vertical="center"/>
      <protection locked="0" hidden="1"/>
    </xf>
    <xf numFmtId="0" fontId="4" fillId="13" borderId="1" xfId="0" applyFont="1" applyFill="1" applyBorder="1" applyAlignment="1" applyProtection="1">
      <alignment horizontal="center"/>
      <protection hidden="1"/>
    </xf>
    <xf numFmtId="0" fontId="17" fillId="13" borderId="1" xfId="0" applyFont="1" applyFill="1" applyBorder="1" applyAlignment="1" applyProtection="1">
      <alignment horizontal="center"/>
      <protection hidden="1"/>
    </xf>
    <xf numFmtId="3" fontId="34" fillId="13" borderId="1" xfId="1" applyNumberFormat="1" applyFont="1" applyFill="1" applyBorder="1" applyAlignment="1" applyProtection="1">
      <alignment horizontal="center" vertical="center"/>
      <protection locked="0" hidden="1"/>
    </xf>
    <xf numFmtId="0" fontId="34" fillId="14" borderId="1" xfId="0" applyFont="1" applyFill="1" applyBorder="1" applyAlignment="1" applyProtection="1">
      <alignment horizontal="center" vertical="center"/>
      <protection locked="0" hidden="1"/>
    </xf>
    <xf numFmtId="3" fontId="34" fillId="13" borderId="11" xfId="1" applyNumberFormat="1" applyFont="1" applyFill="1" applyBorder="1" applyAlignment="1" applyProtection="1">
      <alignment horizontal="center" vertical="center"/>
      <protection locked="0" hidden="1"/>
    </xf>
    <xf numFmtId="3" fontId="34" fillId="13" borderId="50" xfId="1" applyNumberFormat="1" applyFont="1" applyFill="1" applyBorder="1" applyAlignment="1" applyProtection="1">
      <alignment horizontal="center" vertical="center"/>
      <protection locked="0" hidden="1"/>
    </xf>
    <xf numFmtId="0" fontId="34" fillId="3" borderId="1" xfId="0" applyFont="1" applyFill="1" applyBorder="1" applyAlignment="1">
      <alignment horizontal="center" vertical="center"/>
    </xf>
    <xf numFmtId="0" fontId="34" fillId="13" borderId="1" xfId="0" applyFont="1" applyFill="1" applyBorder="1" applyAlignment="1">
      <alignment horizontal="center" vertical="center"/>
    </xf>
    <xf numFmtId="0" fontId="34" fillId="0" borderId="53"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3" fontId="34" fillId="3" borderId="1" xfId="0" applyNumberFormat="1" applyFont="1" applyFill="1" applyBorder="1" applyAlignment="1">
      <alignment horizontal="center" vertical="center"/>
    </xf>
    <xf numFmtId="0" fontId="35" fillId="3" borderId="10" xfId="0" applyFont="1" applyFill="1" applyBorder="1" applyAlignment="1">
      <alignment horizontal="left" vertical="center" indent="3"/>
    </xf>
    <xf numFmtId="3" fontId="34" fillId="0" borderId="50" xfId="1" applyNumberFormat="1" applyFont="1" applyFill="1" applyBorder="1" applyAlignment="1" applyProtection="1">
      <alignment horizontal="center" vertical="center"/>
      <protection locked="0" hidden="1"/>
    </xf>
    <xf numFmtId="0" fontId="36" fillId="0" borderId="1" xfId="0" applyFont="1" applyBorder="1" applyAlignment="1" applyProtection="1">
      <alignment horizontal="center" vertical="center" wrapText="1"/>
      <protection hidden="1"/>
    </xf>
    <xf numFmtId="0" fontId="36" fillId="0" borderId="1" xfId="0" applyFont="1" applyBorder="1" applyAlignment="1" applyProtection="1">
      <alignment horizontal="center" vertical="center"/>
      <protection hidden="1"/>
    </xf>
    <xf numFmtId="0" fontId="34" fillId="13" borderId="1" xfId="1" applyNumberFormat="1" applyFont="1" applyFill="1" applyBorder="1" applyAlignment="1" applyProtection="1">
      <alignment horizontal="center" vertical="center"/>
      <protection locked="0" hidden="1"/>
    </xf>
    <xf numFmtId="3" fontId="34" fillId="13" borderId="1" xfId="0" applyNumberFormat="1" applyFont="1" applyFill="1" applyBorder="1" applyAlignment="1" applyProtection="1">
      <alignment horizontal="center" vertical="center" wrapText="1"/>
      <protection locked="0" hidden="1"/>
    </xf>
    <xf numFmtId="168" fontId="34" fillId="13" borderId="1" xfId="0" applyNumberFormat="1" applyFont="1" applyFill="1" applyBorder="1" applyAlignment="1" applyProtection="1">
      <alignment horizontal="center" vertical="center"/>
      <protection locked="0" hidden="1"/>
    </xf>
    <xf numFmtId="0" fontId="35" fillId="0" borderId="1" xfId="0" applyFont="1" applyFill="1" applyBorder="1" applyAlignment="1" applyProtection="1">
      <alignment horizontal="center" vertical="center"/>
      <protection hidden="1"/>
    </xf>
    <xf numFmtId="9" fontId="34" fillId="13" borderId="1" xfId="0" applyNumberFormat="1" applyFont="1" applyFill="1" applyBorder="1" applyAlignment="1" applyProtection="1">
      <alignment horizontal="center" vertical="center"/>
      <protection hidden="1"/>
    </xf>
    <xf numFmtId="3" fontId="34" fillId="13" borderId="11" xfId="1" applyNumberFormat="1" applyFont="1" applyFill="1" applyBorder="1" applyAlignment="1" applyProtection="1">
      <alignment horizontal="center"/>
      <protection locked="0" hidden="1"/>
    </xf>
    <xf numFmtId="0" fontId="36" fillId="4" borderId="1" xfId="0" applyFont="1" applyFill="1" applyBorder="1" applyAlignment="1" applyProtection="1">
      <alignment horizontal="center" vertical="center"/>
      <protection hidden="1"/>
    </xf>
    <xf numFmtId="0" fontId="20" fillId="13" borderId="1" xfId="0" applyFont="1" applyFill="1" applyBorder="1" applyAlignment="1" applyProtection="1">
      <alignment horizontal="center"/>
      <protection hidden="1"/>
    </xf>
    <xf numFmtId="3" fontId="34" fillId="13" borderId="1" xfId="4" applyNumberFormat="1" applyFont="1" applyFill="1" applyBorder="1" applyAlignment="1" applyProtection="1">
      <alignment horizontal="center" vertical="center"/>
      <protection locked="0" hidden="1"/>
    </xf>
    <xf numFmtId="0" fontId="34" fillId="13" borderId="1" xfId="0" applyFont="1" applyFill="1" applyBorder="1" applyAlignment="1" applyProtection="1">
      <alignment horizontal="center" vertical="center" wrapText="1"/>
      <protection locked="0" hidden="1"/>
    </xf>
    <xf numFmtId="0" fontId="34" fillId="13" borderId="1" xfId="0" applyFont="1" applyFill="1" applyBorder="1" applyAlignment="1" applyProtection="1">
      <alignment horizontal="center"/>
      <protection locked="0" hidden="1"/>
    </xf>
    <xf numFmtId="3" fontId="34" fillId="13" borderId="14" xfId="3" applyNumberFormat="1" applyFont="1" applyFill="1" applyBorder="1" applyAlignment="1" applyProtection="1">
      <alignment horizontal="center" vertical="center"/>
      <protection hidden="1"/>
    </xf>
    <xf numFmtId="168" fontId="34" fillId="13" borderId="1" xfId="2" applyNumberFormat="1" applyFont="1" applyFill="1" applyBorder="1" applyAlignment="1" applyProtection="1">
      <alignment horizontal="center" vertical="center"/>
      <protection locked="0" hidden="1"/>
    </xf>
    <xf numFmtId="0" fontId="4" fillId="0" borderId="9" xfId="2" applyFont="1" applyFill="1" applyBorder="1" applyAlignment="1" applyProtection="1">
      <alignment horizontal="center"/>
      <protection hidden="1"/>
    </xf>
    <xf numFmtId="3" fontId="51" fillId="0" borderId="1" xfId="3" applyNumberFormat="1" applyFont="1" applyFill="1" applyBorder="1" applyAlignment="1" applyProtection="1">
      <alignment horizontal="center" vertical="center"/>
      <protection hidden="1"/>
    </xf>
    <xf numFmtId="0" fontId="57" fillId="0" borderId="9" xfId="2" applyFont="1" applyFill="1" applyBorder="1" applyAlignment="1" applyProtection="1">
      <alignment horizontal="center"/>
      <protection hidden="1"/>
    </xf>
    <xf numFmtId="1" fontId="50" fillId="0" borderId="1" xfId="2" applyNumberFormat="1" applyFont="1" applyFill="1" applyBorder="1" applyAlignment="1" applyProtection="1">
      <alignment horizontal="center"/>
      <protection hidden="1"/>
    </xf>
    <xf numFmtId="0" fontId="50" fillId="0" borderId="1" xfId="2" applyFont="1" applyFill="1" applyBorder="1" applyAlignment="1" applyProtection="1">
      <alignment horizontal="center" vertical="center"/>
      <protection hidden="1"/>
    </xf>
    <xf numFmtId="168" fontId="34" fillId="13" borderId="1" xfId="3" applyNumberFormat="1" applyFont="1" applyFill="1" applyBorder="1" applyAlignment="1" applyProtection="1">
      <alignment horizontal="center" vertical="center"/>
      <protection locked="0" hidden="1"/>
    </xf>
    <xf numFmtId="165" fontId="35" fillId="6" borderId="1" xfId="1" applyNumberFormat="1" applyFont="1" applyFill="1" applyBorder="1" applyAlignment="1" applyProtection="1">
      <alignment horizontal="right" wrapText="1"/>
      <protection hidden="1"/>
    </xf>
    <xf numFmtId="0" fontId="16" fillId="3" borderId="0" xfId="0" applyFont="1" applyFill="1" applyBorder="1" applyAlignment="1" applyProtection="1">
      <alignment horizontal="left" vertical="center" wrapText="1"/>
      <protection hidden="1"/>
    </xf>
    <xf numFmtId="4" fontId="50" fillId="13" borderId="1" xfId="4" applyNumberFormat="1" applyFont="1" applyFill="1" applyBorder="1" applyAlignment="1" applyProtection="1">
      <alignment horizontal="center" vertical="center"/>
      <protection locked="0" hidden="1"/>
    </xf>
    <xf numFmtId="0" fontId="14" fillId="3" borderId="7" xfId="0" applyFont="1" applyFill="1" applyBorder="1" applyAlignment="1" applyProtection="1">
      <alignment horizontal="center"/>
      <protection hidden="1"/>
    </xf>
    <xf numFmtId="0" fontId="14" fillId="3" borderId="0" xfId="0" applyFont="1" applyFill="1" applyBorder="1" applyAlignment="1" applyProtection="1">
      <alignment horizontal="center"/>
      <protection hidden="1"/>
    </xf>
    <xf numFmtId="0" fontId="25" fillId="3" borderId="7" xfId="0" applyFont="1" applyFill="1" applyBorder="1" applyAlignment="1" applyProtection="1">
      <alignment horizontal="center"/>
      <protection hidden="1"/>
    </xf>
    <xf numFmtId="0" fontId="25" fillId="3" borderId="0" xfId="0" applyFont="1" applyFill="1" applyBorder="1" applyAlignment="1" applyProtection="1">
      <alignment horizontal="center"/>
      <protection hidden="1"/>
    </xf>
    <xf numFmtId="0" fontId="35" fillId="4" borderId="10" xfId="0" applyFont="1" applyFill="1" applyBorder="1" applyAlignment="1" applyProtection="1">
      <alignment horizontal="left" vertical="center" indent="1"/>
      <protection hidden="1"/>
    </xf>
    <xf numFmtId="0" fontId="35" fillId="4" borderId="11" xfId="0" applyFont="1" applyFill="1" applyBorder="1" applyAlignment="1" applyProtection="1">
      <alignment horizontal="left" vertical="center" indent="1"/>
      <protection hidden="1"/>
    </xf>
    <xf numFmtId="0" fontId="16" fillId="4" borderId="0" xfId="0" applyFont="1" applyFill="1" applyBorder="1" applyAlignment="1" applyProtection="1">
      <alignment horizontal="left" vertical="center" wrapText="1" indent="1"/>
      <protection hidden="1"/>
    </xf>
    <xf numFmtId="0" fontId="16" fillId="4" borderId="0" xfId="0" applyFont="1" applyFill="1" applyBorder="1" applyAlignment="1" applyProtection="1">
      <alignment horizontal="left" vertical="center" wrapText="1" indent="2"/>
      <protection hidden="1"/>
    </xf>
    <xf numFmtId="0" fontId="2" fillId="4" borderId="13"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wrapText="1"/>
      <protection hidden="1"/>
    </xf>
    <xf numFmtId="0" fontId="2" fillId="4" borderId="9"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left" vertical="center" wrapText="1" indent="1"/>
      <protection hidden="1"/>
    </xf>
    <xf numFmtId="0" fontId="16" fillId="4" borderId="9" xfId="0" applyFont="1" applyFill="1" applyBorder="1" applyAlignment="1" applyProtection="1">
      <alignment horizontal="left" vertical="center" wrapText="1" indent="1"/>
      <protection hidden="1"/>
    </xf>
    <xf numFmtId="0" fontId="35" fillId="0" borderId="55"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59" xfId="0" applyFont="1" applyBorder="1" applyAlignment="1" applyProtection="1">
      <alignment horizontal="center" vertical="center" wrapText="1"/>
      <protection hidden="1"/>
    </xf>
    <xf numFmtId="0" fontId="35" fillId="0" borderId="57" xfId="0" applyFont="1" applyBorder="1" applyAlignment="1" applyProtection="1">
      <alignment horizontal="center" vertical="center" wrapText="1"/>
      <protection hidden="1"/>
    </xf>
    <xf numFmtId="0" fontId="2" fillId="0" borderId="0" xfId="2" applyFont="1" applyFill="1" applyBorder="1" applyAlignment="1" applyProtection="1">
      <alignment horizontal="center" vertical="center" wrapText="1"/>
      <protection hidden="1"/>
    </xf>
    <xf numFmtId="0" fontId="25" fillId="0" borderId="2" xfId="2" applyFont="1" applyFill="1" applyBorder="1" applyAlignment="1" applyProtection="1">
      <alignment horizontal="center"/>
      <protection hidden="1"/>
    </xf>
    <xf numFmtId="0" fontId="25" fillId="0" borderId="3" xfId="2" applyFont="1" applyFill="1" applyBorder="1" applyAlignment="1" applyProtection="1">
      <alignment horizontal="center"/>
      <protection hidden="1"/>
    </xf>
    <xf numFmtId="0" fontId="25" fillId="0" borderId="7" xfId="2" applyFont="1" applyFill="1" applyBorder="1" applyAlignment="1" applyProtection="1">
      <alignment horizontal="center"/>
      <protection hidden="1"/>
    </xf>
    <xf numFmtId="0" fontId="25" fillId="0" borderId="0" xfId="2" applyFont="1" applyFill="1" applyBorder="1" applyAlignment="1" applyProtection="1">
      <alignment horizontal="center"/>
      <protection hidden="1"/>
    </xf>
    <xf numFmtId="0" fontId="35" fillId="0" borderId="55" xfId="2" applyFont="1" applyFill="1" applyBorder="1" applyAlignment="1" applyProtection="1">
      <alignment horizontal="center" vertical="center" wrapText="1"/>
      <protection hidden="1"/>
    </xf>
    <xf numFmtId="0" fontId="35" fillId="0" borderId="57" xfId="2" applyFont="1" applyFill="1" applyBorder="1" applyAlignment="1" applyProtection="1">
      <alignment horizontal="center" vertical="center" wrapText="1"/>
      <protection hidden="1"/>
    </xf>
    <xf numFmtId="0" fontId="31" fillId="4" borderId="1" xfId="0" applyFont="1" applyFill="1" applyBorder="1" applyAlignment="1" applyProtection="1">
      <alignment horizontal="center" vertical="center"/>
      <protection hidden="1"/>
    </xf>
    <xf numFmtId="0" fontId="16" fillId="3" borderId="13" xfId="0" applyFont="1" applyFill="1" applyBorder="1" applyAlignment="1" applyProtection="1">
      <alignment horizontal="left" vertical="center" wrapText="1"/>
      <protection hidden="1"/>
    </xf>
    <xf numFmtId="0" fontId="16" fillId="3" borderId="9" xfId="0" applyFont="1" applyFill="1" applyBorder="1" applyAlignment="1" applyProtection="1">
      <alignment horizontal="left" vertical="center" wrapText="1"/>
      <protection hidden="1"/>
    </xf>
    <xf numFmtId="0" fontId="35" fillId="3" borderId="10" xfId="0" applyFont="1" applyFill="1" applyBorder="1" applyAlignment="1" applyProtection="1">
      <alignment horizontal="left" vertical="center" indent="3"/>
      <protection hidden="1"/>
    </xf>
    <xf numFmtId="0" fontId="35" fillId="3" borderId="12" xfId="0" applyFont="1" applyFill="1" applyBorder="1" applyAlignment="1" applyProtection="1">
      <alignment horizontal="left" vertical="center" indent="3"/>
      <protection hidden="1"/>
    </xf>
    <xf numFmtId="0" fontId="35" fillId="3" borderId="11" xfId="0" applyFont="1" applyFill="1" applyBorder="1" applyAlignment="1" applyProtection="1">
      <alignment horizontal="left" vertical="center" indent="3"/>
      <protection hidden="1"/>
    </xf>
    <xf numFmtId="0" fontId="35" fillId="3" borderId="55" xfId="0" applyFont="1" applyFill="1" applyBorder="1" applyAlignment="1" applyProtection="1">
      <alignment horizontal="center" vertical="center" wrapText="1"/>
      <protection hidden="1"/>
    </xf>
    <xf numFmtId="0" fontId="35" fillId="3" borderId="0" xfId="0" applyFont="1" applyFill="1" applyBorder="1" applyAlignment="1" applyProtection="1">
      <alignment horizontal="center" vertical="center" wrapText="1"/>
      <protection hidden="1"/>
    </xf>
    <xf numFmtId="0" fontId="35" fillId="3" borderId="59" xfId="0" applyFont="1" applyFill="1" applyBorder="1" applyAlignment="1" applyProtection="1">
      <alignment horizontal="center" vertical="center" wrapText="1"/>
      <protection hidden="1"/>
    </xf>
    <xf numFmtId="0" fontId="35" fillId="3" borderId="57" xfId="0" applyFont="1" applyFill="1" applyBorder="1" applyAlignment="1" applyProtection="1">
      <alignment horizontal="center" vertical="center" wrapText="1"/>
      <protection hidden="1"/>
    </xf>
    <xf numFmtId="0" fontId="47" fillId="5" borderId="10" xfId="0" applyFont="1" applyFill="1" applyBorder="1" applyAlignment="1" applyProtection="1">
      <alignment horizontal="left" vertical="center" wrapText="1"/>
      <protection hidden="1"/>
    </xf>
    <xf numFmtId="0" fontId="47" fillId="5" borderId="12" xfId="0" applyFont="1" applyFill="1" applyBorder="1" applyAlignment="1" applyProtection="1">
      <alignment horizontal="left" vertical="center" wrapText="1"/>
      <protection hidden="1"/>
    </xf>
    <xf numFmtId="0" fontId="47" fillId="5" borderId="11" xfId="0" applyFont="1" applyFill="1" applyBorder="1" applyAlignment="1" applyProtection="1">
      <alignment horizontal="left" vertical="center" wrapText="1"/>
      <protection hidden="1"/>
    </xf>
    <xf numFmtId="0" fontId="36" fillId="5" borderId="10" xfId="0" applyFont="1" applyFill="1" applyBorder="1" applyAlignment="1" applyProtection="1">
      <alignment horizontal="center" wrapText="1"/>
      <protection hidden="1"/>
    </xf>
    <xf numFmtId="0" fontId="36" fillId="5" borderId="12" xfId="0" applyFont="1" applyFill="1" applyBorder="1" applyAlignment="1" applyProtection="1">
      <alignment horizontal="center" wrapText="1"/>
      <protection hidden="1"/>
    </xf>
    <xf numFmtId="0" fontId="36" fillId="5" borderId="11" xfId="0" applyFont="1" applyFill="1" applyBorder="1" applyAlignment="1" applyProtection="1">
      <alignment horizontal="center" wrapText="1"/>
      <protection hidden="1"/>
    </xf>
    <xf numFmtId="0" fontId="36" fillId="5" borderId="10" xfId="0" applyFont="1" applyFill="1" applyBorder="1" applyAlignment="1" applyProtection="1">
      <alignment horizontal="left" vertical="center" wrapText="1"/>
      <protection hidden="1"/>
    </xf>
    <xf numFmtId="0" fontId="36" fillId="5" borderId="12" xfId="0" applyFont="1" applyFill="1" applyBorder="1" applyAlignment="1" applyProtection="1">
      <alignment horizontal="left" vertical="center" wrapText="1"/>
      <protection hidden="1"/>
    </xf>
    <xf numFmtId="0" fontId="36" fillId="5" borderId="11" xfId="0" applyFont="1" applyFill="1" applyBorder="1" applyAlignment="1" applyProtection="1">
      <alignment horizontal="left" vertical="center" wrapText="1"/>
      <protection hidden="1"/>
    </xf>
    <xf numFmtId="0" fontId="47" fillId="5" borderId="47" xfId="0" applyFont="1" applyFill="1" applyBorder="1" applyAlignment="1" applyProtection="1">
      <alignment horizontal="left" vertical="center" wrapText="1"/>
      <protection hidden="1"/>
    </xf>
    <xf numFmtId="0" fontId="47" fillId="5" borderId="53" xfId="0" applyFont="1" applyFill="1" applyBorder="1" applyAlignment="1" applyProtection="1">
      <alignment horizontal="left" vertical="center" wrapText="1"/>
      <protection hidden="1"/>
    </xf>
    <xf numFmtId="0" fontId="47" fillId="5" borderId="50" xfId="0" applyFont="1" applyFill="1" applyBorder="1" applyAlignment="1" applyProtection="1">
      <alignment horizontal="left" vertical="center" wrapText="1"/>
      <protection hidden="1"/>
    </xf>
    <xf numFmtId="0" fontId="35" fillId="3" borderId="10" xfId="0" applyFont="1" applyFill="1" applyBorder="1" applyAlignment="1">
      <alignment horizontal="left" vertical="center" indent="3"/>
    </xf>
    <xf numFmtId="0" fontId="35" fillId="3" borderId="11" xfId="0" applyFont="1" applyFill="1" applyBorder="1" applyAlignment="1">
      <alignment horizontal="left" vertical="center" indent="3"/>
    </xf>
    <xf numFmtId="0" fontId="35" fillId="0" borderId="0" xfId="0" applyFont="1" applyBorder="1" applyAlignment="1">
      <alignment horizontal="center" vertical="center" wrapText="1"/>
    </xf>
    <xf numFmtId="0" fontId="35" fillId="3" borderId="61" xfId="0" applyFont="1" applyFill="1" applyBorder="1" applyAlignment="1" applyProtection="1">
      <alignment horizontal="center" vertical="center" wrapText="1"/>
      <protection hidden="1"/>
    </xf>
    <xf numFmtId="0" fontId="36" fillId="0" borderId="10" xfId="0" applyFont="1" applyFill="1" applyBorder="1" applyAlignment="1" applyProtection="1">
      <alignment horizontal="left" vertical="center"/>
      <protection hidden="1"/>
    </xf>
    <xf numFmtId="0" fontId="36" fillId="0" borderId="12" xfId="0" applyFont="1" applyFill="1" applyBorder="1" applyAlignment="1" applyProtection="1">
      <alignment horizontal="left" vertical="center"/>
      <protection hidden="1"/>
    </xf>
    <xf numFmtId="0" fontId="36" fillId="0" borderId="11" xfId="0" applyFont="1" applyFill="1" applyBorder="1" applyAlignment="1" applyProtection="1">
      <alignment horizontal="left" vertical="center"/>
      <protection hidden="1"/>
    </xf>
    <xf numFmtId="0" fontId="36" fillId="0" borderId="43" xfId="0" applyFont="1" applyFill="1" applyBorder="1" applyAlignment="1" applyProtection="1">
      <alignment horizontal="left" vertical="center"/>
      <protection hidden="1"/>
    </xf>
    <xf numFmtId="0" fontId="36" fillId="0" borderId="54" xfId="0" applyFont="1" applyFill="1" applyBorder="1" applyAlignment="1" applyProtection="1">
      <alignment horizontal="left" vertical="center"/>
      <protection hidden="1"/>
    </xf>
    <xf numFmtId="0" fontId="36" fillId="0" borderId="46" xfId="0" applyFont="1" applyFill="1" applyBorder="1" applyAlignment="1" applyProtection="1">
      <alignment horizontal="left" vertical="center"/>
      <protection hidden="1"/>
    </xf>
    <xf numFmtId="0" fontId="31" fillId="4" borderId="10" xfId="0" applyFont="1" applyFill="1" applyBorder="1" applyAlignment="1" applyProtection="1">
      <alignment horizontal="center" vertical="center"/>
      <protection hidden="1"/>
    </xf>
    <xf numFmtId="0" fontId="31" fillId="4" borderId="12" xfId="0" applyFont="1" applyFill="1" applyBorder="1" applyAlignment="1" applyProtection="1">
      <alignment horizontal="center" vertical="center"/>
      <protection hidden="1"/>
    </xf>
    <xf numFmtId="0" fontId="31" fillId="4" borderId="11" xfId="0" applyFont="1" applyFill="1" applyBorder="1" applyAlignment="1" applyProtection="1">
      <alignment horizontal="center" vertical="center"/>
      <protection hidden="1"/>
    </xf>
    <xf numFmtId="0" fontId="36" fillId="0" borderId="47" xfId="0" applyFont="1" applyFill="1" applyBorder="1" applyAlignment="1" applyProtection="1">
      <alignment horizontal="left" vertical="center"/>
      <protection hidden="1"/>
    </xf>
    <xf numFmtId="0" fontId="36" fillId="0" borderId="53" xfId="0" applyFont="1" applyFill="1" applyBorder="1" applyAlignment="1" applyProtection="1">
      <alignment horizontal="left" vertical="center"/>
      <protection hidden="1"/>
    </xf>
    <xf numFmtId="0" fontId="36" fillId="0" borderId="50" xfId="0" applyFont="1" applyFill="1" applyBorder="1" applyAlignment="1" applyProtection="1">
      <alignment horizontal="left" vertical="center"/>
      <protection hidden="1"/>
    </xf>
    <xf numFmtId="0" fontId="35" fillId="0" borderId="10" xfId="0" applyFont="1" applyFill="1" applyBorder="1" applyAlignment="1" applyProtection="1">
      <alignment horizontal="left" vertical="center" indent="2"/>
      <protection hidden="1"/>
    </xf>
    <xf numFmtId="0" fontId="35" fillId="0" borderId="12" xfId="0" applyFont="1" applyFill="1" applyBorder="1" applyAlignment="1" applyProtection="1">
      <alignment horizontal="left" vertical="center" indent="2"/>
      <protection hidden="1"/>
    </xf>
    <xf numFmtId="0" fontId="35" fillId="0" borderId="11" xfId="0" applyFont="1" applyFill="1" applyBorder="1" applyAlignment="1" applyProtection="1">
      <alignment horizontal="left" vertical="center" indent="2"/>
      <protection hidden="1"/>
    </xf>
    <xf numFmtId="0" fontId="36" fillId="0" borderId="13" xfId="0" applyFont="1" applyFill="1" applyBorder="1" applyAlignment="1" applyProtection="1">
      <alignment horizontal="left" vertical="center"/>
      <protection hidden="1"/>
    </xf>
    <xf numFmtId="0" fontId="36" fillId="0" borderId="0" xfId="0" applyFont="1" applyFill="1" applyBorder="1" applyAlignment="1" applyProtection="1">
      <alignment horizontal="left" vertical="center"/>
      <protection hidden="1"/>
    </xf>
    <xf numFmtId="0" fontId="36" fillId="0" borderId="41" xfId="0" applyFont="1" applyFill="1" applyBorder="1" applyAlignment="1" applyProtection="1">
      <alignment horizontal="left" vertical="center"/>
      <protection hidden="1"/>
    </xf>
    <xf numFmtId="0" fontId="36" fillId="4" borderId="10" xfId="0" applyFont="1" applyFill="1" applyBorder="1" applyAlignment="1" applyProtection="1">
      <alignment horizontal="left" vertical="center"/>
      <protection hidden="1"/>
    </xf>
    <xf numFmtId="0" fontId="36" fillId="4" borderId="12" xfId="0" applyFont="1" applyFill="1" applyBorder="1" applyAlignment="1" applyProtection="1">
      <alignment horizontal="left" vertical="center"/>
      <protection hidden="1"/>
    </xf>
    <xf numFmtId="0" fontId="36" fillId="4" borderId="11" xfId="0" applyFont="1" applyFill="1" applyBorder="1" applyAlignment="1" applyProtection="1">
      <alignment horizontal="left" vertical="center"/>
      <protection hidden="1"/>
    </xf>
    <xf numFmtId="0" fontId="34" fillId="0" borderId="10"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0" fontId="47" fillId="0" borderId="47" xfId="0" applyFont="1" applyBorder="1" applyAlignment="1" applyProtection="1">
      <alignment horizontal="center" vertical="center" wrapText="1"/>
      <protection hidden="1"/>
    </xf>
    <xf numFmtId="0" fontId="47" fillId="0" borderId="53" xfId="0" applyFont="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52" fillId="0" borderId="10" xfId="2" applyFont="1" applyFill="1" applyBorder="1" applyAlignment="1" applyProtection="1">
      <alignment horizontal="center" vertical="center"/>
      <protection hidden="1"/>
    </xf>
    <xf numFmtId="0" fontId="52" fillId="0" borderId="12" xfId="2" applyFont="1" applyFill="1" applyBorder="1" applyAlignment="1" applyProtection="1">
      <alignment horizontal="center" vertical="center"/>
      <protection hidden="1"/>
    </xf>
    <xf numFmtId="0" fontId="52" fillId="0" borderId="11" xfId="2" applyFont="1" applyFill="1" applyBorder="1" applyAlignment="1" applyProtection="1">
      <alignment horizontal="center" vertical="center"/>
      <protection hidden="1"/>
    </xf>
    <xf numFmtId="0" fontId="54" fillId="3" borderId="10" xfId="2" applyFont="1" applyFill="1" applyBorder="1" applyAlignment="1" applyProtection="1">
      <alignment horizontal="left" vertical="center" wrapText="1"/>
      <protection hidden="1"/>
    </xf>
    <xf numFmtId="0" fontId="54" fillId="3" borderId="11" xfId="2" applyFont="1" applyFill="1" applyBorder="1" applyAlignment="1" applyProtection="1">
      <alignment horizontal="left" vertical="center" wrapText="1"/>
      <protection hidden="1"/>
    </xf>
    <xf numFmtId="0" fontId="14" fillId="3" borderId="9" xfId="0" applyFont="1" applyFill="1" applyBorder="1" applyAlignment="1" applyProtection="1">
      <alignment horizontal="center"/>
      <protection hidden="1"/>
    </xf>
    <xf numFmtId="0" fontId="16" fillId="3" borderId="0" xfId="0" applyFont="1" applyFill="1" applyBorder="1" applyAlignment="1" applyProtection="1">
      <alignment horizontal="left" vertical="center" wrapText="1"/>
      <protection hidden="1"/>
    </xf>
    <xf numFmtId="0" fontId="50" fillId="0" borderId="10" xfId="0" applyFont="1" applyBorder="1" applyAlignment="1" applyProtection="1">
      <alignment horizontal="center" vertical="center" wrapText="1"/>
      <protection hidden="1"/>
    </xf>
    <xf numFmtId="0" fontId="50" fillId="0" borderId="12" xfId="0" applyFont="1" applyBorder="1" applyAlignment="1" applyProtection="1">
      <alignment horizontal="center" vertical="center" wrapText="1"/>
      <protection hidden="1"/>
    </xf>
    <xf numFmtId="0" fontId="50" fillId="0" borderId="11" xfId="0" applyFont="1" applyBorder="1" applyAlignment="1" applyProtection="1">
      <alignment horizontal="center" vertical="center" wrapText="1"/>
      <protection hidden="1"/>
    </xf>
    <xf numFmtId="0" fontId="35" fillId="0" borderId="60" xfId="0" applyFont="1" applyBorder="1" applyAlignment="1" applyProtection="1">
      <alignment horizontal="center" vertical="center"/>
      <protection hidden="1"/>
    </xf>
    <xf numFmtId="0" fontId="35" fillId="0" borderId="62" xfId="0" applyFont="1" applyBorder="1" applyAlignment="1" applyProtection="1">
      <alignment horizontal="center" vertical="center"/>
      <protection hidden="1"/>
    </xf>
    <xf numFmtId="0" fontId="33" fillId="3" borderId="47" xfId="2" applyFont="1" applyFill="1" applyBorder="1" applyAlignment="1" applyProtection="1">
      <alignment horizontal="left" vertical="center"/>
      <protection hidden="1"/>
    </xf>
    <xf numFmtId="0" fontId="33" fillId="3" borderId="50" xfId="2" applyFont="1" applyFill="1" applyBorder="1" applyAlignment="1" applyProtection="1">
      <alignment horizontal="left" vertical="center"/>
      <protection hidden="1"/>
    </xf>
    <xf numFmtId="0" fontId="36" fillId="6" borderId="1" xfId="0" applyFont="1" applyFill="1" applyBorder="1" applyAlignment="1" applyProtection="1">
      <alignment horizontal="left" vertical="center" indent="1"/>
      <protection hidden="1"/>
    </xf>
    <xf numFmtId="0" fontId="36" fillId="6" borderId="1" xfId="0" applyFont="1" applyFill="1" applyBorder="1" applyAlignment="1" applyProtection="1">
      <alignment horizontal="center"/>
      <protection hidden="1"/>
    </xf>
    <xf numFmtId="0" fontId="35" fillId="0" borderId="61" xfId="0" applyFont="1" applyBorder="1" applyAlignment="1" applyProtection="1">
      <alignment horizontal="center" vertical="center" wrapText="1"/>
      <protection hidden="1"/>
    </xf>
    <xf numFmtId="0" fontId="14" fillId="3" borderId="7" xfId="2" applyFont="1" applyFill="1" applyBorder="1" applyAlignment="1" applyProtection="1">
      <alignment horizontal="center"/>
      <protection hidden="1"/>
    </xf>
    <xf numFmtId="0" fontId="14" fillId="3" borderId="0" xfId="2" applyFont="1" applyFill="1" applyBorder="1" applyAlignment="1" applyProtection="1">
      <alignment horizontal="center"/>
      <protection hidden="1"/>
    </xf>
    <xf numFmtId="0" fontId="14" fillId="3" borderId="9" xfId="2" applyFont="1" applyFill="1" applyBorder="1" applyAlignment="1" applyProtection="1">
      <alignment horizontal="center"/>
      <protection hidden="1"/>
    </xf>
    <xf numFmtId="0" fontId="25" fillId="3" borderId="7" xfId="2" applyFont="1" applyFill="1" applyBorder="1" applyAlignment="1" applyProtection="1">
      <alignment horizontal="center" vertical="center"/>
      <protection hidden="1"/>
    </xf>
    <xf numFmtId="0" fontId="25" fillId="3" borderId="0" xfId="2" applyFont="1" applyFill="1" applyBorder="1" applyAlignment="1" applyProtection="1">
      <alignment horizontal="center" vertical="center"/>
      <protection hidden="1"/>
    </xf>
    <xf numFmtId="0" fontId="25" fillId="3" borderId="9" xfId="2" applyFont="1" applyFill="1" applyBorder="1" applyAlignment="1" applyProtection="1">
      <alignment horizontal="center" vertical="center"/>
      <protection hidden="1"/>
    </xf>
    <xf numFmtId="0" fontId="34" fillId="0" borderId="58" xfId="2" applyFont="1" applyBorder="1" applyAlignment="1" applyProtection="1">
      <alignment horizontal="center" vertical="center" wrapText="1"/>
      <protection hidden="1"/>
    </xf>
    <xf numFmtId="0" fontId="35" fillId="0" borderId="1" xfId="2" applyFont="1" applyBorder="1" applyAlignment="1" applyProtection="1">
      <alignment horizontal="left" vertical="center" wrapText="1" indent="1"/>
      <protection hidden="1"/>
    </xf>
    <xf numFmtId="0" fontId="25" fillId="0" borderId="7" xfId="0" applyFont="1" applyFill="1" applyBorder="1" applyAlignment="1" applyProtection="1">
      <alignment horizontal="center"/>
      <protection hidden="1"/>
    </xf>
    <xf numFmtId="0" fontId="25" fillId="0" borderId="0" xfId="0" applyFont="1" applyFill="1" applyBorder="1" applyAlignment="1" applyProtection="1">
      <alignment horizontal="center"/>
      <protection hidden="1"/>
    </xf>
    <xf numFmtId="0" fontId="33" fillId="0" borderId="10" xfId="0" applyFont="1" applyFill="1" applyBorder="1" applyAlignment="1" applyProtection="1">
      <alignment horizontal="center" vertical="center" wrapText="1"/>
      <protection hidden="1"/>
    </xf>
    <xf numFmtId="0" fontId="33" fillId="0" borderId="11" xfId="0" applyFont="1" applyFill="1" applyBorder="1" applyAlignment="1" applyProtection="1">
      <alignment horizontal="center" vertical="center" wrapText="1"/>
      <protection hidden="1"/>
    </xf>
    <xf numFmtId="0" fontId="39" fillId="3" borderId="0" xfId="0" applyFont="1" applyFill="1" applyBorder="1" applyAlignment="1" applyProtection="1">
      <alignment horizontal="left" vertical="center"/>
      <protection hidden="1"/>
    </xf>
    <xf numFmtId="0" fontId="36" fillId="0" borderId="10" xfId="0" applyFont="1" applyBorder="1" applyAlignment="1" applyProtection="1">
      <alignment horizontal="center" vertical="center" wrapText="1" readingOrder="1"/>
      <protection hidden="1"/>
    </xf>
    <xf numFmtId="0" fontId="36" fillId="0" borderId="11" xfId="0" applyFont="1" applyBorder="1" applyAlignment="1" applyProtection="1">
      <alignment horizontal="center" vertical="center" wrapText="1" readingOrder="1"/>
      <protection hidden="1"/>
    </xf>
    <xf numFmtId="0" fontId="33" fillId="0" borderId="0" xfId="2" applyFont="1" applyFill="1" applyBorder="1" applyAlignment="1" applyProtection="1">
      <alignment horizontal="center" vertical="top"/>
      <protection hidden="1"/>
    </xf>
    <xf numFmtId="0" fontId="26" fillId="0" borderId="10" xfId="0" applyFont="1" applyFill="1" applyBorder="1" applyAlignment="1" applyProtection="1">
      <alignment horizontal="center" vertical="center"/>
      <protection hidden="1"/>
    </xf>
    <xf numFmtId="0" fontId="26" fillId="0" borderId="12" xfId="0" applyFont="1" applyFill="1" applyBorder="1" applyAlignment="1" applyProtection="1">
      <alignment horizontal="center" vertical="center"/>
      <protection hidden="1"/>
    </xf>
    <xf numFmtId="0" fontId="26" fillId="0" borderId="11" xfId="0" applyFont="1" applyFill="1" applyBorder="1" applyAlignment="1" applyProtection="1">
      <alignment horizontal="center" vertical="center"/>
      <protection hidden="1"/>
    </xf>
    <xf numFmtId="0" fontId="33" fillId="0" borderId="55" xfId="2" applyFont="1" applyFill="1" applyBorder="1" applyAlignment="1" applyProtection="1">
      <alignment horizontal="center" vertical="top"/>
      <protection hidden="1"/>
    </xf>
    <xf numFmtId="0" fontId="34" fillId="0" borderId="57" xfId="2" applyFont="1" applyFill="1" applyBorder="1" applyAlignment="1" applyProtection="1">
      <alignment horizontal="center" vertical="top" wrapText="1"/>
      <protection hidden="1"/>
    </xf>
    <xf numFmtId="0" fontId="33" fillId="0" borderId="0" xfId="2" applyFont="1" applyFill="1" applyBorder="1" applyAlignment="1" applyProtection="1">
      <alignment horizontal="center" vertical="top" wrapText="1"/>
      <protection hidden="1"/>
    </xf>
    <xf numFmtId="0" fontId="33" fillId="0" borderId="61" xfId="2" applyFont="1" applyFill="1" applyBorder="1" applyAlignment="1" applyProtection="1">
      <alignment horizontal="center" vertical="top" wrapText="1"/>
      <protection hidden="1"/>
    </xf>
    <xf numFmtId="3" fontId="34" fillId="13" borderId="1" xfId="1" applyNumberFormat="1" applyFont="1" applyFill="1" applyBorder="1" applyAlignment="1" applyProtection="1">
      <alignment horizontal="center" vertical="center" wrapText="1"/>
      <protection locked="0" hidden="1"/>
    </xf>
    <xf numFmtId="0" fontId="34" fillId="0" borderId="10" xfId="0" applyFont="1" applyFill="1" applyBorder="1" applyAlignment="1" applyProtection="1">
      <alignment horizontal="center" vertical="center" wrapText="1"/>
      <protection hidden="1"/>
    </xf>
    <xf numFmtId="0" fontId="34" fillId="0" borderId="11" xfId="0" applyFont="1" applyFill="1" applyBorder="1" applyAlignment="1" applyProtection="1">
      <alignment horizontal="center" vertical="center" wrapText="1"/>
      <protection hidden="1"/>
    </xf>
    <xf numFmtId="0" fontId="35" fillId="0" borderId="10" xfId="0" applyFont="1" applyBorder="1" applyAlignment="1" applyProtection="1">
      <alignment horizontal="center" vertical="center" wrapText="1"/>
      <protection hidden="1"/>
    </xf>
    <xf numFmtId="0" fontId="35" fillId="0" borderId="11" xfId="0" applyFont="1" applyBorder="1" applyAlignment="1" applyProtection="1">
      <alignment horizontal="center" vertical="center" wrapText="1"/>
      <protection hidden="1"/>
    </xf>
    <xf numFmtId="0" fontId="34" fillId="13" borderId="1" xfId="3" applyNumberFormat="1" applyFont="1" applyFill="1" applyBorder="1" applyAlignment="1" applyProtection="1">
      <alignment horizontal="center" vertical="center" wrapText="1"/>
      <protection locked="0" hidden="1"/>
    </xf>
    <xf numFmtId="170" fontId="34" fillId="13" borderId="10" xfId="2" applyNumberFormat="1" applyFont="1" applyFill="1" applyBorder="1" applyAlignment="1" applyProtection="1">
      <alignment horizontal="center" vertical="center"/>
      <protection locked="0" hidden="1"/>
    </xf>
    <xf numFmtId="170" fontId="34" fillId="13" borderId="11" xfId="2" applyNumberFormat="1" applyFont="1" applyFill="1" applyBorder="1" applyAlignment="1" applyProtection="1">
      <alignment horizontal="center" vertical="center"/>
      <protection locked="0" hidden="1"/>
    </xf>
    <xf numFmtId="0" fontId="36" fillId="6" borderId="1" xfId="0" applyFont="1" applyFill="1" applyBorder="1" applyAlignment="1" applyProtection="1">
      <alignment horizontal="center" vertical="center" wrapText="1"/>
      <protection hidden="1"/>
    </xf>
    <xf numFmtId="168" fontId="33" fillId="0" borderId="1" xfId="0" applyNumberFormat="1" applyFont="1" applyFill="1" applyBorder="1" applyAlignment="1" applyProtection="1">
      <alignment horizontal="center" vertical="center"/>
      <protection hidden="1"/>
    </xf>
    <xf numFmtId="168" fontId="34" fillId="13" borderId="1" xfId="2" applyNumberFormat="1" applyFont="1" applyFill="1" applyBorder="1" applyAlignment="1" applyProtection="1">
      <alignment horizontal="center" vertical="center"/>
      <protection locked="0" hidden="1"/>
    </xf>
    <xf numFmtId="0" fontId="35" fillId="0" borderId="1" xfId="2" applyFont="1" applyBorder="1" applyAlignment="1" applyProtection="1">
      <alignment horizontal="center" vertical="center" wrapText="1"/>
      <protection hidden="1"/>
    </xf>
    <xf numFmtId="10" fontId="34" fillId="13" borderId="10" xfId="2" applyNumberFormat="1" applyFont="1" applyFill="1" applyBorder="1" applyAlignment="1" applyProtection="1">
      <alignment horizontal="center" vertical="center"/>
      <protection locked="0" hidden="1"/>
    </xf>
    <xf numFmtId="10" fontId="34" fillId="13" borderId="11" xfId="2" applyNumberFormat="1" applyFont="1" applyFill="1" applyBorder="1" applyAlignment="1" applyProtection="1">
      <alignment horizontal="center" vertical="center"/>
      <protection locked="0" hidden="1"/>
    </xf>
    <xf numFmtId="0" fontId="36" fillId="0" borderId="10" xfId="2" applyFont="1" applyBorder="1" applyAlignment="1" applyProtection="1">
      <alignment horizontal="center" vertical="center" wrapText="1"/>
      <protection hidden="1"/>
    </xf>
    <xf numFmtId="0" fontId="36" fillId="0" borderId="12" xfId="2" applyFont="1" applyBorder="1" applyAlignment="1" applyProtection="1">
      <alignment horizontal="center" vertical="center" wrapText="1"/>
      <protection hidden="1"/>
    </xf>
    <xf numFmtId="0" fontId="36" fillId="0" borderId="11" xfId="2" applyFont="1" applyBorder="1" applyAlignment="1" applyProtection="1">
      <alignment horizontal="center" vertical="center" wrapText="1"/>
      <protection hidden="1"/>
    </xf>
    <xf numFmtId="0" fontId="35" fillId="0" borderId="10" xfId="2" applyFont="1" applyBorder="1" applyAlignment="1" applyProtection="1">
      <alignment horizontal="center" vertical="center" wrapText="1"/>
      <protection hidden="1"/>
    </xf>
    <xf numFmtId="0" fontId="35" fillId="0" borderId="12" xfId="2" applyFont="1" applyBorder="1" applyAlignment="1" applyProtection="1">
      <alignment horizontal="center" vertical="center" wrapText="1"/>
      <protection hidden="1"/>
    </xf>
    <xf numFmtId="0" fontId="35" fillId="0" borderId="11" xfId="2" applyFont="1" applyBorder="1" applyAlignment="1" applyProtection="1">
      <alignment horizontal="center" vertical="center" wrapText="1"/>
      <protection hidden="1"/>
    </xf>
    <xf numFmtId="4" fontId="10" fillId="9" borderId="28" xfId="0" applyNumberFormat="1" applyFont="1" applyFill="1" applyBorder="1" applyAlignment="1" applyProtection="1">
      <alignment horizontal="center" vertical="center" wrapText="1"/>
      <protection hidden="1"/>
    </xf>
    <xf numFmtId="4" fontId="10" fillId="9" borderId="29" xfId="0" applyNumberFormat="1" applyFont="1" applyFill="1" applyBorder="1" applyAlignment="1" applyProtection="1">
      <alignment horizontal="center" vertical="center" wrapText="1"/>
      <protection hidden="1"/>
    </xf>
    <xf numFmtId="4" fontId="10" fillId="9" borderId="30" xfId="0" applyNumberFormat="1" applyFont="1" applyFill="1" applyBorder="1" applyAlignment="1" applyProtection="1">
      <alignment horizontal="center" vertical="center" wrapText="1"/>
      <protection hidden="1"/>
    </xf>
    <xf numFmtId="4" fontId="2" fillId="9" borderId="17" xfId="0" applyNumberFormat="1" applyFont="1" applyFill="1" applyBorder="1" applyAlignment="1" applyProtection="1">
      <alignment horizontal="center" vertical="center" wrapText="1"/>
      <protection hidden="1"/>
    </xf>
    <xf numFmtId="4" fontId="2" fillId="9" borderId="31" xfId="0" applyNumberFormat="1" applyFont="1" applyFill="1" applyBorder="1" applyAlignment="1" applyProtection="1">
      <alignment horizontal="center" vertical="center" wrapText="1"/>
      <protection hidden="1"/>
    </xf>
    <xf numFmtId="0" fontId="2" fillId="9" borderId="17" xfId="0" applyFont="1" applyFill="1" applyBorder="1" applyAlignment="1" applyProtection="1">
      <protection hidden="1"/>
    </xf>
    <xf numFmtId="0" fontId="2" fillId="9" borderId="18" xfId="0" applyFont="1" applyFill="1" applyBorder="1" applyAlignment="1" applyProtection="1">
      <protection hidden="1"/>
    </xf>
    <xf numFmtId="0" fontId="2" fillId="9" borderId="19" xfId="0" applyFont="1" applyFill="1" applyBorder="1" applyAlignment="1" applyProtection="1">
      <protection hidden="1"/>
    </xf>
    <xf numFmtId="0" fontId="2" fillId="9" borderId="21" xfId="0" applyFont="1" applyFill="1" applyBorder="1" applyAlignment="1" applyProtection="1">
      <protection hidden="1"/>
    </xf>
    <xf numFmtId="0" fontId="2" fillId="9" borderId="11" xfId="0" applyFont="1" applyFill="1" applyBorder="1" applyAlignment="1" applyProtection="1">
      <protection hidden="1"/>
    </xf>
    <xf numFmtId="0" fontId="2" fillId="9" borderId="1" xfId="0" applyFont="1" applyFill="1" applyBorder="1" applyAlignment="1" applyProtection="1">
      <protection hidden="1"/>
    </xf>
    <xf numFmtId="0" fontId="2" fillId="9" borderId="22" xfId="0" applyFont="1" applyFill="1" applyBorder="1" applyAlignment="1" applyProtection="1">
      <protection hidden="1"/>
    </xf>
    <xf numFmtId="0" fontId="2" fillId="9" borderId="23" xfId="0" applyFont="1" applyFill="1" applyBorder="1" applyAlignment="1" applyProtection="1">
      <protection hidden="1"/>
    </xf>
    <xf numFmtId="0" fontId="2" fillId="9" borderId="24" xfId="0" applyFont="1" applyFill="1" applyBorder="1" applyAlignment="1" applyProtection="1">
      <protection hidden="1"/>
    </xf>
    <xf numFmtId="1" fontId="2" fillId="9" borderId="17" xfId="0" applyNumberFormat="1" applyFont="1" applyFill="1" applyBorder="1" applyAlignment="1" applyProtection="1">
      <alignment horizontal="center" vertical="center" wrapText="1"/>
      <protection hidden="1"/>
    </xf>
    <xf numFmtId="1" fontId="2" fillId="9" borderId="22" xfId="0" applyNumberFormat="1" applyFont="1" applyFill="1" applyBorder="1" applyAlignment="1" applyProtection="1">
      <alignment horizontal="center" vertical="center" wrapText="1"/>
      <protection hidden="1"/>
    </xf>
    <xf numFmtId="1" fontId="2" fillId="9" borderId="26" xfId="0" applyNumberFormat="1" applyFont="1" applyFill="1" applyBorder="1" applyAlignment="1" applyProtection="1">
      <alignment horizontal="center" vertical="center" wrapText="1"/>
      <protection hidden="1"/>
    </xf>
    <xf numFmtId="1" fontId="2" fillId="9" borderId="32" xfId="0" applyNumberFormat="1" applyFont="1" applyFill="1" applyBorder="1" applyAlignment="1" applyProtection="1">
      <alignment horizontal="center" vertical="center" wrapText="1"/>
      <protection hidden="1"/>
    </xf>
    <xf numFmtId="2" fontId="2" fillId="9" borderId="27" xfId="0" applyNumberFormat="1" applyFont="1" applyFill="1" applyBorder="1" applyAlignment="1" applyProtection="1">
      <alignment horizontal="center" vertical="center" wrapText="1"/>
      <protection hidden="1"/>
    </xf>
    <xf numFmtId="2" fontId="2" fillId="9" borderId="33" xfId="0" applyNumberFormat="1" applyFont="1" applyFill="1" applyBorder="1" applyAlignment="1" applyProtection="1">
      <alignment horizontal="center" vertical="center" wrapText="1"/>
      <protection hidden="1"/>
    </xf>
    <xf numFmtId="0" fontId="2" fillId="0" borderId="16" xfId="2" applyFont="1" applyBorder="1" applyAlignment="1">
      <alignment horizontal="center"/>
    </xf>
    <xf numFmtId="0" fontId="2" fillId="0" borderId="14" xfId="2" applyFont="1" applyBorder="1" applyAlignment="1">
      <alignment horizontal="center"/>
    </xf>
    <xf numFmtId="0" fontId="5" fillId="0" borderId="1" xfId="2" applyFont="1" applyBorder="1" applyAlignment="1">
      <alignment horizontal="center"/>
    </xf>
  </cellXfs>
  <cellStyles count="6">
    <cellStyle name="Excel Built-in Normal" xfId="5"/>
    <cellStyle name="Обычный" xfId="0" builtinId="0"/>
    <cellStyle name="Обычный 2" xfId="2"/>
    <cellStyle name="Процентный" xfId="3" builtinId="5"/>
    <cellStyle name="Процентный 2" xfId="4"/>
    <cellStyle name="Финансовый" xfId="1" builtinId="3"/>
  </cellStyles>
  <dxfs count="1">
    <dxf>
      <font>
        <condense val="0"/>
        <extend val="0"/>
        <color indexed="22"/>
      </font>
      <fill>
        <patternFill patternType="solid">
          <bgColor indexed="22"/>
        </patternFill>
      </fill>
      <border>
        <left/>
        <right/>
        <top/>
        <bottom/>
      </border>
    </dxf>
  </dxfs>
  <tableStyles count="0" defaultTableStyle="TableStyleMedium2" defaultPivotStyle="PivotStyleLight16"/>
  <colors>
    <mruColors>
      <color rgb="FF3AAA35"/>
      <color rgb="FFFFFF29"/>
      <color rgb="FFFF6699"/>
      <color rgb="FF00B3A9"/>
      <color rgb="FFFFFF71"/>
      <color rgb="FFC5FFFC"/>
      <color rgb="FF00C0B7"/>
      <color rgb="FFFFFF99"/>
      <color rgb="FFFFD211"/>
      <color rgb="FFFFC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autoTitleDeleted val="1"/>
    <c:view3D>
      <c:rotX val="5"/>
      <c:rotY val="0"/>
      <c:perspective val="0"/>
    </c:view3D>
    <c:floor>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spPr>
        <a:noFill/>
        <a:ln>
          <a:noFill/>
        </a:ln>
        <a:effectLst/>
        <a:sp3d/>
      </c:spPr>
    </c:sideWall>
    <c:backWall>
      <c:spPr>
        <a:noFill/>
        <a:ln>
          <a:noFill/>
        </a:ln>
        <a:effectLst/>
        <a:sp3d/>
      </c:spPr>
    </c:backWall>
    <c:plotArea>
      <c:layout>
        <c:manualLayout>
          <c:layoutTarget val="inner"/>
          <c:xMode val="edge"/>
          <c:yMode val="edge"/>
          <c:x val="3.7463809696873698E-2"/>
          <c:y val="5.2308889819535985E-2"/>
          <c:w val="0.95431925470792278"/>
          <c:h val="0.84611265900849764"/>
        </c:manualLayout>
      </c:layout>
      <c:bar3DChart>
        <c:barDir val="col"/>
        <c:grouping val="clustered"/>
        <c:ser>
          <c:idx val="1"/>
          <c:order val="0"/>
          <c:tx>
            <c:strRef>
              <c:f>Прибыль_окупаемость!$C$32</c:f>
              <c:strCache>
                <c:ptCount val="1"/>
                <c:pt idx="0">
                  <c:v>Денежный поток</c:v>
                </c:pt>
              </c:strCache>
            </c:strRef>
          </c:tx>
          <c:spPr>
            <a:solidFill>
              <a:srgbClr val="3AAA35"/>
            </a:solidFill>
            <a:ln>
              <a:no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26"/>
            <c:invertIfNegative val="1"/>
            <c:extLst xmlns:c16r2="http://schemas.microsoft.com/office/drawing/2015/06/chart">
              <c:ext xmlns:c16="http://schemas.microsoft.com/office/drawing/2014/chart" uri="{C3380CC4-5D6E-409C-BE32-E72D297353CC}">
                <c16:uniqueId val="{00000000-DC3C-4C67-AD4D-26F961C4CE08}"/>
              </c:ext>
            </c:extLst>
          </c:dPt>
          <c:dPt>
            <c:idx val="27"/>
            <c:invertIfNegative val="1"/>
            <c:extLst xmlns:c16r2="http://schemas.microsoft.com/office/drawing/2015/06/chart">
              <c:ext xmlns:c16="http://schemas.microsoft.com/office/drawing/2014/chart" uri="{C3380CC4-5D6E-409C-BE32-E72D297353CC}">
                <c16:uniqueId val="{00000001-DC3C-4C67-AD4D-26F961C4CE08}"/>
              </c:ext>
            </c:extLst>
          </c:dPt>
          <c:dPt>
            <c:idx val="28"/>
            <c:invertIfNegative val="1"/>
            <c:extLst xmlns:c16r2="http://schemas.microsoft.com/office/drawing/2015/06/chart">
              <c:ext xmlns:c16="http://schemas.microsoft.com/office/drawing/2014/chart" uri="{C3380CC4-5D6E-409C-BE32-E72D297353CC}">
                <c16:uniqueId val="{00000002-DC3C-4C67-AD4D-26F961C4CE08}"/>
              </c:ext>
            </c:extLst>
          </c:dPt>
          <c:dPt>
            <c:idx val="29"/>
            <c:invertIfNegative val="1"/>
            <c:extLst xmlns:c16r2="http://schemas.microsoft.com/office/drawing/2015/06/chart">
              <c:ext xmlns:c16="http://schemas.microsoft.com/office/drawing/2014/chart" uri="{C3380CC4-5D6E-409C-BE32-E72D297353CC}">
                <c16:uniqueId val="{00000003-DC3C-4C67-AD4D-26F961C4CE08}"/>
              </c:ext>
            </c:extLst>
          </c:dPt>
          <c:dPt>
            <c:idx val="30"/>
            <c:invertIfNegative val="1"/>
            <c:extLst xmlns:c16r2="http://schemas.microsoft.com/office/drawing/2015/06/chart">
              <c:ext xmlns:c16="http://schemas.microsoft.com/office/drawing/2014/chart" uri="{C3380CC4-5D6E-409C-BE32-E72D297353CC}">
                <c16:uniqueId val="{00000004-DC3C-4C67-AD4D-26F961C4CE08}"/>
              </c:ext>
            </c:extLst>
          </c:dPt>
          <c:dPt>
            <c:idx val="31"/>
            <c:invertIfNegative val="1"/>
            <c:extLst xmlns:c16r2="http://schemas.microsoft.com/office/drawing/2015/06/chart">
              <c:ext xmlns:c16="http://schemas.microsoft.com/office/drawing/2014/chart" uri="{C3380CC4-5D6E-409C-BE32-E72D297353CC}">
                <c16:uniqueId val="{00000005-DC3C-4C67-AD4D-26F961C4CE08}"/>
              </c:ext>
            </c:extLst>
          </c:dPt>
          <c:dPt>
            <c:idx val="32"/>
            <c:invertIfNegative val="1"/>
            <c:extLst xmlns:c16r2="http://schemas.microsoft.com/office/drawing/2015/06/chart">
              <c:ext xmlns:c16="http://schemas.microsoft.com/office/drawing/2014/chart" uri="{C3380CC4-5D6E-409C-BE32-E72D297353CC}">
                <c16:uniqueId val="{00000006-DC3C-4C67-AD4D-26F961C4CE08}"/>
              </c:ext>
            </c:extLst>
          </c:dPt>
          <c:dPt>
            <c:idx val="33"/>
            <c:invertIfNegative val="1"/>
            <c:extLst xmlns:c16r2="http://schemas.microsoft.com/office/drawing/2015/06/chart">
              <c:ext xmlns:c16="http://schemas.microsoft.com/office/drawing/2014/chart" uri="{C3380CC4-5D6E-409C-BE32-E72D297353CC}">
                <c16:uniqueId val="{00000007-DC3C-4C67-AD4D-26F961C4CE08}"/>
              </c:ext>
            </c:extLst>
          </c:dPt>
          <c:dPt>
            <c:idx val="34"/>
            <c:invertIfNegative val="1"/>
            <c:extLst xmlns:c16r2="http://schemas.microsoft.com/office/drawing/2015/06/chart">
              <c:ext xmlns:c16="http://schemas.microsoft.com/office/drawing/2014/chart" uri="{C3380CC4-5D6E-409C-BE32-E72D297353CC}">
                <c16:uniqueId val="{00000008-DC3C-4C67-AD4D-26F961C4CE08}"/>
              </c:ext>
            </c:extLst>
          </c:dPt>
          <c:dPt>
            <c:idx val="35"/>
            <c:invertIfNegative val="1"/>
            <c:extLst xmlns:c16r2="http://schemas.microsoft.com/office/drawing/2015/06/chart">
              <c:ext xmlns:c16="http://schemas.microsoft.com/office/drawing/2014/chart" uri="{C3380CC4-5D6E-409C-BE32-E72D297353CC}">
                <c16:uniqueId val="{00000009-DC3C-4C67-AD4D-26F961C4CE08}"/>
              </c:ext>
            </c:extLst>
          </c:dPt>
          <c:dLbls>
            <c:delete val="1"/>
          </c:dLbls>
          <c:cat>
            <c:numRef>
              <c:f>Прибыль_окупаемость!$E$18:$AN$18</c:f>
              <c:numCache>
                <c:formatCode>[$-419]mmmm;@</c:formatCode>
                <c:ptCount val="36"/>
                <c:pt idx="0">
                  <c:v>42826</c:v>
                </c:pt>
                <c:pt idx="1">
                  <c:v>42857</c:v>
                </c:pt>
                <c:pt idx="2">
                  <c:v>42888</c:v>
                </c:pt>
                <c:pt idx="3">
                  <c:v>42919</c:v>
                </c:pt>
                <c:pt idx="4">
                  <c:v>42950</c:v>
                </c:pt>
                <c:pt idx="5">
                  <c:v>42981</c:v>
                </c:pt>
                <c:pt idx="6">
                  <c:v>43012</c:v>
                </c:pt>
                <c:pt idx="7">
                  <c:v>43043</c:v>
                </c:pt>
                <c:pt idx="8">
                  <c:v>43074</c:v>
                </c:pt>
                <c:pt idx="9">
                  <c:v>43105</c:v>
                </c:pt>
                <c:pt idx="10">
                  <c:v>43136</c:v>
                </c:pt>
                <c:pt idx="11">
                  <c:v>43167</c:v>
                </c:pt>
                <c:pt idx="12">
                  <c:v>43198</c:v>
                </c:pt>
                <c:pt idx="13">
                  <c:v>43229</c:v>
                </c:pt>
                <c:pt idx="14">
                  <c:v>43260</c:v>
                </c:pt>
                <c:pt idx="15">
                  <c:v>43291</c:v>
                </c:pt>
                <c:pt idx="16">
                  <c:v>43322</c:v>
                </c:pt>
                <c:pt idx="17">
                  <c:v>43353</c:v>
                </c:pt>
                <c:pt idx="18">
                  <c:v>43384</c:v>
                </c:pt>
                <c:pt idx="19">
                  <c:v>43415</c:v>
                </c:pt>
                <c:pt idx="20">
                  <c:v>43446</c:v>
                </c:pt>
                <c:pt idx="21">
                  <c:v>43477</c:v>
                </c:pt>
                <c:pt idx="22">
                  <c:v>43508</c:v>
                </c:pt>
                <c:pt idx="23">
                  <c:v>43539</c:v>
                </c:pt>
                <c:pt idx="24">
                  <c:v>43198</c:v>
                </c:pt>
                <c:pt idx="25">
                  <c:v>43229</c:v>
                </c:pt>
                <c:pt idx="26">
                  <c:v>43260</c:v>
                </c:pt>
                <c:pt idx="27">
                  <c:v>43291</c:v>
                </c:pt>
                <c:pt idx="28">
                  <c:v>43322</c:v>
                </c:pt>
                <c:pt idx="29">
                  <c:v>43353</c:v>
                </c:pt>
                <c:pt idx="30">
                  <c:v>43384</c:v>
                </c:pt>
                <c:pt idx="31">
                  <c:v>43415</c:v>
                </c:pt>
                <c:pt idx="32">
                  <c:v>43446</c:v>
                </c:pt>
                <c:pt idx="33">
                  <c:v>43477</c:v>
                </c:pt>
                <c:pt idx="34">
                  <c:v>43508</c:v>
                </c:pt>
                <c:pt idx="35">
                  <c:v>43539</c:v>
                </c:pt>
              </c:numCache>
            </c:numRef>
          </c:cat>
          <c:val>
            <c:numRef>
              <c:f>Прибыль_окупаемость!$E$32:$AN$32</c:f>
              <c:numCache>
                <c:formatCode>#,##0</c:formatCode>
                <c:ptCount val="36"/>
                <c:pt idx="0">
                  <c:v>-2919626.3499999996</c:v>
                </c:pt>
                <c:pt idx="1">
                  <c:v>-2604673.3599999994</c:v>
                </c:pt>
                <c:pt idx="2">
                  <c:v>-2254252.0629999992</c:v>
                </c:pt>
                <c:pt idx="3">
                  <c:v>-1866589.043649999</c:v>
                </c:pt>
                <c:pt idx="4">
                  <c:v>-1439822.2158324989</c:v>
                </c:pt>
                <c:pt idx="5">
                  <c:v>-971996.38912412361</c:v>
                </c:pt>
                <c:pt idx="6">
                  <c:v>-461058.61358032934</c:v>
                </c:pt>
                <c:pt idx="7">
                  <c:v>95146.708240654552</c:v>
                </c:pt>
                <c:pt idx="8">
                  <c:v>698882.9536526876</c:v>
                </c:pt>
                <c:pt idx="9">
                  <c:v>1352526.6688353226</c:v>
                </c:pt>
                <c:pt idx="10">
                  <c:v>2058573.2272770889</c:v>
                </c:pt>
                <c:pt idx="11">
                  <c:v>2819642.7711409437</c:v>
                </c:pt>
                <c:pt idx="12">
                  <c:v>3603821.968882076</c:v>
                </c:pt>
                <c:pt idx="13">
                  <c:v>4411573.0135780303</c:v>
                </c:pt>
                <c:pt idx="14">
                  <c:v>5243367.3421679037</c:v>
                </c:pt>
                <c:pt idx="15">
                  <c:v>6099685.8203295749</c:v>
                </c:pt>
                <c:pt idx="16">
                  <c:v>6981018.9310544794</c:v>
                </c:pt>
                <c:pt idx="17">
                  <c:v>7887866.9669938823</c:v>
                </c:pt>
                <c:pt idx="18">
                  <c:v>8820740.2266520746</c:v>
                </c:pt>
                <c:pt idx="19">
                  <c:v>9780159.2145034298</c:v>
                </c:pt>
                <c:pt idx="20">
                  <c:v>10766654.845111812</c:v>
                </c:pt>
                <c:pt idx="21">
                  <c:v>11780768.65133236</c:v>
                </c:pt>
                <c:pt idx="22">
                  <c:v>12823052.99667732</c:v>
                </c:pt>
                <c:pt idx="23">
                  <c:v>13894071.291929182</c:v>
                </c:pt>
                <c:pt idx="24">
                  <c:v>14979743.901633559</c:v>
                </c:pt>
                <c:pt idx="25">
                  <c:v>16080217.368934982</c:v>
                </c:pt>
                <c:pt idx="26">
                  <c:v>17195639.702409416</c:v>
                </c:pt>
                <c:pt idx="27">
                  <c:v>18326160.390718598</c:v>
                </c:pt>
                <c:pt idx="28">
                  <c:v>19471930.417410869</c:v>
                </c:pt>
                <c:pt idx="29">
                  <c:v>20633102.275870066</c:v>
                </c:pt>
                <c:pt idx="30">
                  <c:v>21809829.984413855</c:v>
                </c:pt>
                <c:pt idx="31">
                  <c:v>23002269.10154308</c:v>
                </c:pt>
                <c:pt idx="32">
                  <c:v>24210576.741343599</c:v>
                </c:pt>
                <c:pt idx="33">
                  <c:v>25434911.58904212</c:v>
                </c:pt>
                <c:pt idx="34">
                  <c:v>26675433.916717626</c:v>
                </c:pt>
                <c:pt idx="35">
                  <c:v>27932305.599169888</c:v>
                </c:pt>
              </c:numCache>
            </c:numRef>
          </c:val>
          <c:extLst xmlns:c16r2="http://schemas.microsoft.com/office/drawing/2015/06/chart">
            <c:ext xmlns:c14="http://schemas.microsoft.com/office/drawing/2007/8/2/chart" uri="{6F2FDCE9-48DA-4B69-8628-5D25D57E5C99}">
              <c14:invertSolidFillFmt>
                <c14:spPr xmlns:c14="http://schemas.microsoft.com/office/drawing/2007/8/2/chart">
                  <a:solidFill>
                    <a:srgbClr val="FFFFFF"/>
                  </a:solidFill>
                  <a:ln>
                    <a:no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 xmlns:c16="http://schemas.microsoft.com/office/drawing/2014/chart" uri="{C3380CC4-5D6E-409C-BE32-E72D297353CC}">
              <c16:uniqueId val="{0000001D-5D9E-4F91-88A4-8839C9CA6824}"/>
            </c:ext>
          </c:extLst>
        </c:ser>
        <c:dLbls>
          <c:showVal val="1"/>
        </c:dLbls>
        <c:gapWidth val="50"/>
        <c:gapDepth val="50"/>
        <c:shape val="cylinder"/>
        <c:axId val="90431488"/>
        <c:axId val="90433024"/>
        <c:axId val="0"/>
      </c:bar3DChart>
      <c:catAx>
        <c:axId val="90431488"/>
        <c:scaling>
          <c:orientation val="minMax"/>
        </c:scaling>
        <c:delete val="1"/>
        <c:axPos val="b"/>
        <c:majorGridlines>
          <c:spPr>
            <a:ln w="9525" cap="flat" cmpd="sng" algn="ctr">
              <a:solidFill>
                <a:schemeClr val="bg1">
                  <a:lumMod val="85000"/>
                </a:schemeClr>
              </a:solidFill>
              <a:prstDash val="solid"/>
              <a:round/>
            </a:ln>
            <a:effectLst/>
          </c:spPr>
        </c:majorGridlines>
        <c:numFmt formatCode="[$-419]mmmm;@" sourceLinked="1"/>
        <c:minorTickMark val="out"/>
        <c:tickLblPos val="none"/>
        <c:crossAx val="90433024"/>
        <c:crosses val="autoZero"/>
        <c:lblAlgn val="ctr"/>
        <c:lblOffset val="10"/>
        <c:tickLblSkip val="1"/>
      </c:catAx>
      <c:valAx>
        <c:axId val="90433024"/>
        <c:scaling>
          <c:orientation val="minMax"/>
        </c:scaling>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ru-RU" b="0"/>
                  <a:t>рублей</a:t>
                </a:r>
              </a:p>
            </c:rich>
          </c:tx>
          <c:spPr>
            <a:noFill/>
            <a:ln>
              <a:noFill/>
            </a:ln>
            <a:effectLst/>
          </c:spPr>
        </c:title>
        <c:numFmt formatCode="#,##0" sourceLinked="1"/>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crossAx val="90431488"/>
        <c:crosses val="autoZero"/>
        <c:crossBetween val="between"/>
      </c:valAx>
      <c:dTable>
        <c:showHorzBorder val="1"/>
        <c:showVertBorder val="1"/>
        <c:showOutline val="1"/>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Table>
      <c:spPr>
        <a:noFill/>
        <a:ln>
          <a:noFill/>
        </a:ln>
        <a:effectLst/>
      </c:spPr>
    </c:plotArea>
    <c:plotVisOnly val="1"/>
    <c:dispBlanksAs val="gap"/>
  </c:chart>
  <c:spPr>
    <a:gradFill flip="none" rotWithShape="1">
      <a:gsLst>
        <a:gs pos="0">
          <a:schemeClr val="bg1">
            <a:lumMod val="95000"/>
          </a:schemeClr>
        </a:gs>
        <a:gs pos="100000">
          <a:schemeClr val="bg1">
            <a:lumMod val="95000"/>
          </a:schemeClr>
        </a:gs>
      </a:gsLst>
      <a:path path="circle">
        <a:fillToRect l="50000" t="50000" r="50000" b="50000"/>
      </a:path>
      <a:tileRect/>
    </a:gradFill>
    <a:ln w="9525" cap="flat" cmpd="sng" algn="ctr">
      <a:solidFill>
        <a:schemeClr val="bg1">
          <a:lumMod val="65000"/>
        </a:schemeClr>
      </a:solidFill>
      <a:prstDash val="solid"/>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78" l="0.70000000000000062" r="0.70000000000000062" t="0.750000000000001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lang val="ru-RU"/>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Изменение</a:t>
            </a:r>
            <a:r>
              <a:rPr lang="ru-RU" baseline="0"/>
              <a:t> выручки</a:t>
            </a:r>
            <a:endParaRPr lang="ru-RU"/>
          </a:p>
        </c:rich>
      </c:tx>
      <c:spPr>
        <a:noFill/>
        <a:ln>
          <a:noFill/>
        </a:ln>
        <a:effectLst/>
      </c:spPr>
    </c:title>
    <c:plotArea>
      <c:layout/>
      <c:lineChart>
        <c:grouping val="standard"/>
        <c:ser>
          <c:idx val="0"/>
          <c:order val="0"/>
          <c:tx>
            <c:v>Выручка</c:v>
          </c:tx>
          <c:spPr>
            <a:ln w="28575" cap="rnd">
              <a:solidFill>
                <a:schemeClr val="accent1"/>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23858936.315352574</c:v>
                </c:pt>
                <c:pt idx="1">
                  <c:v>47717872.630705148</c:v>
                </c:pt>
                <c:pt idx="2">
                  <c:v>71576808.946057707</c:v>
                </c:pt>
                <c:pt idx="3">
                  <c:v>95435745.261410296</c:v>
                </c:pt>
                <c:pt idx="4">
                  <c:v>119294681.57676286</c:v>
                </c:pt>
                <c:pt idx="5">
                  <c:v>143153617.89211541</c:v>
                </c:pt>
                <c:pt idx="6">
                  <c:v>167012554.20746797</c:v>
                </c:pt>
                <c:pt idx="7">
                  <c:v>190871490.52282059</c:v>
                </c:pt>
                <c:pt idx="8">
                  <c:v>214730426.83817315</c:v>
                </c:pt>
              </c:numCache>
            </c:numRef>
          </c:val>
          <c:extLst xmlns:c16r2="http://schemas.microsoft.com/office/drawing/2015/06/chart">
            <c:ext xmlns:c16="http://schemas.microsoft.com/office/drawing/2014/chart" uri="{C3380CC4-5D6E-409C-BE32-E72D297353CC}">
              <c16:uniqueId val="{00000000-F413-4269-85C7-8C5365D84CE5}"/>
            </c:ext>
          </c:extLst>
        </c:ser>
        <c:ser>
          <c:idx val="1"/>
          <c:order val="1"/>
          <c:tx>
            <c:v>Затраты</c:v>
          </c:tx>
          <c:spPr>
            <a:ln w="28575" cap="rnd">
              <a:solidFill>
                <a:schemeClr val="accent2"/>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33501398.87148533</c:v>
                </c:pt>
                <c:pt idx="1">
                  <c:v>44080787.988796487</c:v>
                </c:pt>
                <c:pt idx="2">
                  <c:v>57305024.385435432</c:v>
                </c:pt>
                <c:pt idx="3">
                  <c:v>71410876.541850314</c:v>
                </c:pt>
                <c:pt idx="4">
                  <c:v>88161575.977592975</c:v>
                </c:pt>
                <c:pt idx="5">
                  <c:v>105793891.17311157</c:v>
                </c:pt>
                <c:pt idx="6">
                  <c:v>127834285.16750981</c:v>
                </c:pt>
                <c:pt idx="7">
                  <c:v>149874679.16190806</c:v>
                </c:pt>
                <c:pt idx="8">
                  <c:v>176323151.95518595</c:v>
                </c:pt>
              </c:numCache>
            </c:numRef>
          </c:val>
          <c:smooth val="1"/>
          <c:extLst xmlns:c16r2="http://schemas.microsoft.com/office/drawing/2015/06/chart">
            <c:ext xmlns:c16="http://schemas.microsoft.com/office/drawing/2014/chart" uri="{C3380CC4-5D6E-409C-BE32-E72D297353CC}">
              <c16:uniqueId val="{00000001-F413-4269-85C7-8C5365D84CE5}"/>
            </c:ext>
          </c:extLst>
        </c:ser>
        <c:ser>
          <c:idx val="2"/>
          <c:order val="2"/>
          <c:tx>
            <c:v>NPV</c:v>
          </c:tx>
          <c:spPr>
            <a:ln w="28575" cap="rnd">
              <a:solidFill>
                <a:schemeClr val="accent3"/>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4329546.898808457</c:v>
                </c:pt>
                <c:pt idx="1">
                  <c:v>8659093.7976169139</c:v>
                </c:pt>
                <c:pt idx="2">
                  <c:v>13638072.731246639</c:v>
                </c:pt>
                <c:pt idx="3">
                  <c:v>18617051.664876364</c:v>
                </c:pt>
                <c:pt idx="4">
                  <c:v>21647734.494042285</c:v>
                </c:pt>
                <c:pt idx="5">
                  <c:v>24894894.668148626</c:v>
                </c:pt>
                <c:pt idx="6">
                  <c:v>25977281.392850742</c:v>
                </c:pt>
                <c:pt idx="7">
                  <c:v>27059668.117552854</c:v>
                </c:pt>
                <c:pt idx="8">
                  <c:v>27276145.462493278</c:v>
                </c:pt>
              </c:numCache>
            </c:numRef>
          </c:val>
          <c:smooth val="1"/>
          <c:extLst xmlns:c16r2="http://schemas.microsoft.com/office/drawing/2015/06/chart">
            <c:ext xmlns:c16="http://schemas.microsoft.com/office/drawing/2014/chart" uri="{C3380CC4-5D6E-409C-BE32-E72D297353CC}">
              <c16:uniqueId val="{00000002-F413-4269-85C7-8C5365D84CE5}"/>
            </c:ext>
          </c:extLst>
        </c:ser>
        <c:marker val="1"/>
        <c:axId val="100452608"/>
        <c:axId val="100458880"/>
      </c:lineChart>
      <c:catAx>
        <c:axId val="100452608"/>
        <c:scaling>
          <c:orientation val="minMax"/>
        </c:scaling>
        <c:axPos val="b"/>
        <c:title>
          <c:tx>
            <c:rich>
              <a:bodyPr/>
              <a:lstStyle/>
              <a:p>
                <a:pPr>
                  <a:defRPr/>
                </a:pPr>
                <a:r>
                  <a:rPr lang="ru-RU"/>
                  <a:t>Процентное изменени выручки</a:t>
                </a:r>
              </a:p>
            </c:rich>
          </c:tx>
        </c:title>
        <c:numFmt formatCode="0%"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0458880"/>
        <c:crosses val="autoZero"/>
        <c:auto val="1"/>
        <c:lblAlgn val="ctr"/>
        <c:lblOffset val="100"/>
      </c:catAx>
      <c:valAx>
        <c:axId val="100458880"/>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0452608"/>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ru-RU"/>
  <c:style val="1"/>
  <c:chart>
    <c:autoTitleDeleted val="1"/>
    <c:view3D>
      <c:rotX val="5"/>
      <c:rotY val="0"/>
      <c:perspective val="0"/>
    </c:view3D>
    <c:sideWall>
      <c:spPr>
        <a:noFill/>
        <a:ln>
          <a:noFill/>
        </a:ln>
        <a:effectLst/>
      </c:spPr>
    </c:sideWall>
    <c:backWall>
      <c:spPr>
        <a:noFill/>
        <a:ln>
          <a:noFill/>
        </a:ln>
        <a:effectLst/>
      </c:spPr>
    </c:backWall>
    <c:plotArea>
      <c:layout>
        <c:manualLayout>
          <c:layoutTarget val="inner"/>
          <c:xMode val="edge"/>
          <c:yMode val="edge"/>
          <c:x val="3.7463809696873698E-2"/>
          <c:y val="5.2308889819535985E-2"/>
          <c:w val="0.95431925470792278"/>
          <c:h val="0.84611265900849764"/>
        </c:manualLayout>
      </c:layout>
      <c:bar3DChart>
        <c:barDir val="col"/>
        <c:grouping val="clustered"/>
        <c:ser>
          <c:idx val="1"/>
          <c:order val="0"/>
          <c:tx>
            <c:strRef>
              <c:f>Прибыль_окупаемость!$C$30</c:f>
              <c:strCache>
                <c:ptCount val="1"/>
                <c:pt idx="0">
                  <c:v>Чистая прибыль</c:v>
                </c:pt>
              </c:strCache>
            </c:strRef>
          </c:tx>
          <c:spPr>
            <a:solidFill>
              <a:srgbClr val="3AAA35"/>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spPr>
          <c:invertIfNegative val="1"/>
          <c:dPt>
            <c:idx val="1"/>
            <c:invertIfNegative val="1"/>
            <c:extLst xmlns:c16r2="http://schemas.microsoft.com/office/drawing/2015/06/chart">
              <c:ext xmlns:c16="http://schemas.microsoft.com/office/drawing/2014/chart" uri="{C3380CC4-5D6E-409C-BE32-E72D297353CC}">
                <c16:uniqueId val="{00000002-1616-4FFE-81BB-751C36BAF96F}"/>
              </c:ext>
            </c:extLst>
          </c:dPt>
          <c:dLbls>
            <c:delete val="1"/>
          </c:dLbls>
          <c:cat>
            <c:numRef>
              <c:f>Прибыль_окупаемость!$E$18:$AN$18</c:f>
              <c:numCache>
                <c:formatCode>[$-419]mmmm;@</c:formatCode>
                <c:ptCount val="36"/>
                <c:pt idx="0">
                  <c:v>42826</c:v>
                </c:pt>
                <c:pt idx="1">
                  <c:v>42857</c:v>
                </c:pt>
                <c:pt idx="2">
                  <c:v>42888</c:v>
                </c:pt>
                <c:pt idx="3">
                  <c:v>42919</c:v>
                </c:pt>
                <c:pt idx="4">
                  <c:v>42950</c:v>
                </c:pt>
                <c:pt idx="5">
                  <c:v>42981</c:v>
                </c:pt>
                <c:pt idx="6">
                  <c:v>43012</c:v>
                </c:pt>
                <c:pt idx="7">
                  <c:v>43043</c:v>
                </c:pt>
                <c:pt idx="8">
                  <c:v>43074</c:v>
                </c:pt>
                <c:pt idx="9">
                  <c:v>43105</c:v>
                </c:pt>
                <c:pt idx="10">
                  <c:v>43136</c:v>
                </c:pt>
                <c:pt idx="11">
                  <c:v>43167</c:v>
                </c:pt>
                <c:pt idx="12">
                  <c:v>43198</c:v>
                </c:pt>
                <c:pt idx="13">
                  <c:v>43229</c:v>
                </c:pt>
                <c:pt idx="14">
                  <c:v>43260</c:v>
                </c:pt>
                <c:pt idx="15">
                  <c:v>43291</c:v>
                </c:pt>
                <c:pt idx="16">
                  <c:v>43322</c:v>
                </c:pt>
                <c:pt idx="17">
                  <c:v>43353</c:v>
                </c:pt>
                <c:pt idx="18">
                  <c:v>43384</c:v>
                </c:pt>
                <c:pt idx="19">
                  <c:v>43415</c:v>
                </c:pt>
                <c:pt idx="20">
                  <c:v>43446</c:v>
                </c:pt>
                <c:pt idx="21">
                  <c:v>43477</c:v>
                </c:pt>
                <c:pt idx="22">
                  <c:v>43508</c:v>
                </c:pt>
                <c:pt idx="23">
                  <c:v>43539</c:v>
                </c:pt>
                <c:pt idx="24">
                  <c:v>43198</c:v>
                </c:pt>
                <c:pt idx="25">
                  <c:v>43229</c:v>
                </c:pt>
                <c:pt idx="26">
                  <c:v>43260</c:v>
                </c:pt>
                <c:pt idx="27">
                  <c:v>43291</c:v>
                </c:pt>
                <c:pt idx="28">
                  <c:v>43322</c:v>
                </c:pt>
                <c:pt idx="29">
                  <c:v>43353</c:v>
                </c:pt>
                <c:pt idx="30">
                  <c:v>43384</c:v>
                </c:pt>
                <c:pt idx="31">
                  <c:v>43415</c:v>
                </c:pt>
                <c:pt idx="32">
                  <c:v>43446</c:v>
                </c:pt>
                <c:pt idx="33">
                  <c:v>43477</c:v>
                </c:pt>
                <c:pt idx="34">
                  <c:v>43508</c:v>
                </c:pt>
                <c:pt idx="35">
                  <c:v>43539</c:v>
                </c:pt>
              </c:numCache>
            </c:numRef>
          </c:cat>
          <c:val>
            <c:numRef>
              <c:f>Прибыль_окупаемость!$E$30:$AN$30</c:f>
              <c:numCache>
                <c:formatCode>#,##0</c:formatCode>
                <c:ptCount val="36"/>
                <c:pt idx="0">
                  <c:v>281173.65000000026</c:v>
                </c:pt>
                <c:pt idx="1">
                  <c:v>314952.99000000046</c:v>
                </c:pt>
                <c:pt idx="2">
                  <c:v>350421.29700000002</c:v>
                </c:pt>
                <c:pt idx="3">
                  <c:v>387663.01935000008</c:v>
                </c:pt>
                <c:pt idx="4">
                  <c:v>426766.8278175001</c:v>
                </c:pt>
                <c:pt idx="5">
                  <c:v>467825.82670837524</c:v>
                </c:pt>
                <c:pt idx="6">
                  <c:v>510937.77554379427</c:v>
                </c:pt>
                <c:pt idx="7">
                  <c:v>556205.3218209839</c:v>
                </c:pt>
                <c:pt idx="8">
                  <c:v>603736.24541203305</c:v>
                </c:pt>
                <c:pt idx="9">
                  <c:v>653643.715182635</c:v>
                </c:pt>
                <c:pt idx="10">
                  <c:v>706046.55844176642</c:v>
                </c:pt>
                <c:pt idx="11">
                  <c:v>761069.54386385472</c:v>
                </c:pt>
                <c:pt idx="12">
                  <c:v>784179.19774113211</c:v>
                </c:pt>
                <c:pt idx="13">
                  <c:v>807751.04469595442</c:v>
                </c:pt>
                <c:pt idx="14">
                  <c:v>831794.32858987362</c:v>
                </c:pt>
                <c:pt idx="15">
                  <c:v>856318.47816167155</c:v>
                </c:pt>
                <c:pt idx="16">
                  <c:v>881333.11072490457</c:v>
                </c:pt>
                <c:pt idx="17">
                  <c:v>906848.03593940265</c:v>
                </c:pt>
                <c:pt idx="18">
                  <c:v>932873.25965819135</c:v>
                </c:pt>
                <c:pt idx="19">
                  <c:v>959418.98785135453</c:v>
                </c:pt>
                <c:pt idx="20">
                  <c:v>986495.63060838159</c:v>
                </c:pt>
                <c:pt idx="21">
                  <c:v>1014113.806220549</c:v>
                </c:pt>
                <c:pt idx="22">
                  <c:v>1042284.3453449612</c:v>
                </c:pt>
                <c:pt idx="23">
                  <c:v>1071018.2952518603</c:v>
                </c:pt>
                <c:pt idx="24">
                  <c:v>1085672.6097043776</c:v>
                </c:pt>
                <c:pt idx="25">
                  <c:v>1100473.467301422</c:v>
                </c:pt>
                <c:pt idx="26">
                  <c:v>1115422.3334744363</c:v>
                </c:pt>
                <c:pt idx="27">
                  <c:v>1130520.6883091806</c:v>
                </c:pt>
                <c:pt idx="28">
                  <c:v>1145770.0266922726</c:v>
                </c:pt>
                <c:pt idx="29">
                  <c:v>1161171.8584591954</c:v>
                </c:pt>
                <c:pt idx="30">
                  <c:v>1176727.7085437872</c:v>
                </c:pt>
                <c:pt idx="31">
                  <c:v>1192439.1171292253</c:v>
                </c:pt>
                <c:pt idx="32">
                  <c:v>1208307.6398005178</c:v>
                </c:pt>
                <c:pt idx="33">
                  <c:v>1224334.8476985223</c:v>
                </c:pt>
                <c:pt idx="34">
                  <c:v>1240522.3276755079</c:v>
                </c:pt>
                <c:pt idx="35">
                  <c:v>1256871.6824522628</c:v>
                </c:pt>
              </c:numCache>
            </c:numRef>
          </c:val>
          <c:extLst xmlns:c16r2="http://schemas.microsoft.com/office/drawing/2015/06/chart">
            <c:ext xmlns:c14="http://schemas.microsoft.com/office/drawing/2007/8/2/chart" uri="{6F2FDCE9-48DA-4B69-8628-5D25D57E5C99}">
              <c14:invertSolidFillFmt>
                <c14:spPr xmlns:c14="http://schemas.microsoft.com/office/drawing/2007/8/2/chart">
                  <a:solidFill>
                    <a:srgbClr val="FFFFFF"/>
                  </a:solidFill>
                  <a:ln>
                    <a:solidFill>
                      <a:schemeClr val="bg1"/>
                    </a:solidFill>
                  </a:ln>
                  <a:effectLst>
                    <a:outerShdw blurRad="40000" dist="23000" dir="5400000" rotWithShape="0">
                      <a:srgbClr val="000000">
                        <a:alpha val="35000"/>
                      </a:srgbClr>
                    </a:outerShdw>
                  </a:effectLst>
                  <a:scene3d>
                    <a:camera prst="orthographicFront"/>
                    <a:lightRig rig="balanced" dir="t"/>
                  </a:scene3d>
                  <a:sp3d prstMaterial="dkEdge">
                    <a:contourClr>
                      <a:srgbClr val="000000"/>
                    </a:contourClr>
                  </a:sp3d>
                </c14:spPr>
              </c14:invertSolidFillFmt>
            </c:ext>
            <c:ext xmlns:c16="http://schemas.microsoft.com/office/drawing/2014/chart" uri="{C3380CC4-5D6E-409C-BE32-E72D297353CC}">
              <c16:uniqueId val="{0000001D-5D9E-4F91-88A4-8839C9CA6824}"/>
            </c:ext>
          </c:extLst>
        </c:ser>
        <c:dLbls>
          <c:showVal val="1"/>
        </c:dLbls>
        <c:gapWidth val="50"/>
        <c:gapDepth val="50"/>
        <c:shape val="cylinder"/>
        <c:axId val="90094208"/>
        <c:axId val="90096000"/>
        <c:axId val="0"/>
      </c:bar3DChart>
      <c:catAx>
        <c:axId val="90094208"/>
        <c:scaling>
          <c:orientation val="minMax"/>
        </c:scaling>
        <c:delete val="1"/>
        <c:axPos val="b"/>
        <c:majorGridlines>
          <c:spPr>
            <a:ln>
              <a:solidFill>
                <a:schemeClr val="bg1">
                  <a:lumMod val="85000"/>
                </a:schemeClr>
              </a:solidFill>
            </a:ln>
          </c:spPr>
        </c:majorGridlines>
        <c:numFmt formatCode="[$-419]mmmm;@" sourceLinked="1"/>
        <c:minorTickMark val="out"/>
        <c:tickLblPos val="none"/>
        <c:crossAx val="90096000"/>
        <c:crosses val="autoZero"/>
        <c:lblAlgn val="ctr"/>
        <c:lblOffset val="10"/>
        <c:tickLblSkip val="1"/>
      </c:catAx>
      <c:valAx>
        <c:axId val="90096000"/>
        <c:scaling>
          <c:orientation val="minMax"/>
        </c:scaling>
        <c:axPos val="l"/>
        <c:majorGridlines>
          <c:spPr>
            <a:ln w="9525" cap="flat" cmpd="sng" algn="ctr">
              <a:solidFill>
                <a:schemeClr val="bg1">
                  <a:lumMod val="85000"/>
                </a:schemeClr>
              </a:solidFill>
              <a:round/>
            </a:ln>
            <a:effectLst/>
          </c:spPr>
        </c:majorGridlines>
        <c:title>
          <c:tx>
            <c:rich>
              <a:bodyPr rot="-5400000" vert="horz"/>
              <a:lstStyle/>
              <a:p>
                <a:pPr>
                  <a:defRPr b="0"/>
                </a:pPr>
                <a:r>
                  <a:rPr lang="ru-RU" b="0"/>
                  <a:t>рублей</a:t>
                </a:r>
              </a:p>
            </c:rich>
          </c:tx>
          <c:spPr>
            <a:noFill/>
            <a:ln>
              <a:noFill/>
            </a:ln>
            <a:effectLst/>
          </c:spPr>
        </c:title>
        <c:numFmt formatCode="#,##0" sourceLinked="1"/>
        <c:tickLblPos val="nextTo"/>
        <c:spPr>
          <a:noFill/>
          <a:ln>
            <a:noFill/>
          </a:ln>
          <a:effectLst/>
        </c:spPr>
        <c:txPr>
          <a:bodyPr rot="-60000000" vert="horz"/>
          <a:lstStyle/>
          <a:p>
            <a:pPr>
              <a:defRPr/>
            </a:pPr>
            <a:endParaRPr lang="ru-RU"/>
          </a:p>
        </c:txPr>
        <c:crossAx val="90094208"/>
        <c:crosses val="autoZero"/>
        <c:crossBetween val="between"/>
      </c:valAx>
      <c:dTable>
        <c:showHorzBorder val="1"/>
        <c:showVertBorder val="1"/>
        <c:showOutline val="1"/>
      </c:dTable>
    </c:plotArea>
    <c:plotVisOnly val="1"/>
    <c:dispBlanksAs val="gap"/>
  </c:chart>
  <c:spPr>
    <a:gradFill flip="none" rotWithShape="1">
      <a:gsLst>
        <a:gs pos="0">
          <a:schemeClr val="bg1">
            <a:lumMod val="95000"/>
          </a:schemeClr>
        </a:gs>
        <a:gs pos="100000">
          <a:schemeClr val="bg1">
            <a:lumMod val="95000"/>
          </a:schemeClr>
        </a:gs>
      </a:gsLst>
      <a:path path="circle">
        <a:fillToRect l="50000" t="50000" r="50000" b="50000"/>
      </a:path>
      <a:tileRect/>
    </a:gradFill>
    <a:ln>
      <a:solidFill>
        <a:schemeClr val="bg1">
          <a:lumMod val="65000"/>
        </a:schemeClr>
      </a:solidFill>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ru-RU"/>
    </a:p>
  </c:txPr>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ru-RU"/>
  <c:chart>
    <c:title>
      <c:tx>
        <c:rich>
          <a:bodyPr rot="0" vert="horz"/>
          <a:lstStyle/>
          <a:p>
            <a:pPr>
              <a:defRPr b="1"/>
            </a:pPr>
            <a:r>
              <a:rPr lang="ru-RU" b="1"/>
              <a:t>Изменение цены продукта</a:t>
            </a:r>
          </a:p>
        </c:rich>
      </c:tx>
      <c:layout/>
      <c:spPr>
        <a:noFill/>
        <a:ln>
          <a:noFill/>
        </a:ln>
        <a:effectLst/>
      </c:spPr>
    </c:title>
    <c:plotArea>
      <c:layout/>
      <c:lineChart>
        <c:grouping val="standard"/>
        <c:ser>
          <c:idx val="0"/>
          <c:order val="0"/>
          <c:tx>
            <c:v>Выручка</c:v>
          </c:tx>
          <c:spPr>
            <a:ln w="28575" cap="rnd">
              <a:solidFill>
                <a:sysClr val="windowText" lastClr="000000"/>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88278064.36680451</c:v>
                </c:pt>
                <c:pt idx="1">
                  <c:v>90663957.998339772</c:v>
                </c:pt>
                <c:pt idx="2">
                  <c:v>94242798.445642665</c:v>
                </c:pt>
                <c:pt idx="3">
                  <c:v>97225165.485061735</c:v>
                </c:pt>
                <c:pt idx="4">
                  <c:v>99611059.116596997</c:v>
                </c:pt>
                <c:pt idx="5">
                  <c:v>101400479.34024844</c:v>
                </c:pt>
                <c:pt idx="6">
                  <c:v>102593426.15601607</c:v>
                </c:pt>
                <c:pt idx="7">
                  <c:v>103189899.56389987</c:v>
                </c:pt>
                <c:pt idx="8">
                  <c:v>103189899.56389987</c:v>
                </c:pt>
                <c:pt idx="9">
                  <c:v>102593426.15601607</c:v>
                </c:pt>
                <c:pt idx="10">
                  <c:v>101400479.34024844</c:v>
                </c:pt>
                <c:pt idx="11">
                  <c:v>99611059.116596997</c:v>
                </c:pt>
                <c:pt idx="12">
                  <c:v>97225165.485061735</c:v>
                </c:pt>
                <c:pt idx="13">
                  <c:v>94242798.445642665</c:v>
                </c:pt>
                <c:pt idx="14">
                  <c:v>90663957.998339772</c:v>
                </c:pt>
                <c:pt idx="15">
                  <c:v>86488644.143153071</c:v>
                </c:pt>
                <c:pt idx="16">
                  <c:v>81716856.880082548</c:v>
                </c:pt>
                <c:pt idx="17">
                  <c:v>76348596.209128216</c:v>
                </c:pt>
                <c:pt idx="18">
                  <c:v>70383862.130290061</c:v>
                </c:pt>
                <c:pt idx="19">
                  <c:v>63822654.643568106</c:v>
                </c:pt>
                <c:pt idx="20">
                  <c:v>56664973.748962335</c:v>
                </c:pt>
                <c:pt idx="21">
                  <c:v>48910819.446472764</c:v>
                </c:pt>
                <c:pt idx="22">
                  <c:v>40560191.736099362</c:v>
                </c:pt>
                <c:pt idx="23">
                  <c:v>31613090.617842145</c:v>
                </c:pt>
                <c:pt idx="24">
                  <c:v>22069516.091701116</c:v>
                </c:pt>
                <c:pt idx="25">
                  <c:v>11929468.157676272</c:v>
                </c:pt>
                <c:pt idx="26">
                  <c:v>1192946.8157676146</c:v>
                </c:pt>
              </c:numCache>
            </c:numRef>
          </c:val>
          <c:extLst xmlns:c16r2="http://schemas.microsoft.com/office/drawing/2015/06/chart">
            <c:ext xmlns:c16="http://schemas.microsoft.com/office/drawing/2014/chart" uri="{C3380CC4-5D6E-409C-BE32-E72D297353CC}">
              <c16:uniqueId val="{00000000-D388-4EFB-B89A-4090271A1983}"/>
            </c:ext>
          </c:extLst>
        </c:ser>
        <c:ser>
          <c:idx val="1"/>
          <c:order val="1"/>
          <c:tx>
            <c:v>Затраты</c:v>
          </c:tx>
          <c:spPr>
            <a:ln w="28575" cap="rnd">
              <a:solidFill>
                <a:srgbClr val="3AAA35"/>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65239566.223418802</c:v>
                </c:pt>
                <c:pt idx="1">
                  <c:v>67002797.74297066</c:v>
                </c:pt>
                <c:pt idx="2">
                  <c:v>69647645.022298455</c:v>
                </c:pt>
                <c:pt idx="3">
                  <c:v>71851684.421738282</c:v>
                </c:pt>
                <c:pt idx="4">
                  <c:v>73614915.94129014</c:v>
                </c:pt>
                <c:pt idx="5">
                  <c:v>74937339.58095403</c:v>
                </c:pt>
                <c:pt idx="6">
                  <c:v>75818955.340729967</c:v>
                </c:pt>
                <c:pt idx="7">
                  <c:v>76259763.220617935</c:v>
                </c:pt>
                <c:pt idx="8">
                  <c:v>76259763.220617935</c:v>
                </c:pt>
                <c:pt idx="9">
                  <c:v>75818955.340729967</c:v>
                </c:pt>
                <c:pt idx="10">
                  <c:v>74937339.58095403</c:v>
                </c:pt>
                <c:pt idx="11">
                  <c:v>73614915.94129014</c:v>
                </c:pt>
                <c:pt idx="12">
                  <c:v>71851684.421738282</c:v>
                </c:pt>
                <c:pt idx="13">
                  <c:v>69647645.022298455</c:v>
                </c:pt>
                <c:pt idx="14">
                  <c:v>67002797.74297066</c:v>
                </c:pt>
                <c:pt idx="15">
                  <c:v>63917142.583754905</c:v>
                </c:pt>
                <c:pt idx="16">
                  <c:v>60390679.544651181</c:v>
                </c:pt>
                <c:pt idx="17">
                  <c:v>56423408.625659496</c:v>
                </c:pt>
                <c:pt idx="18">
                  <c:v>52015329.826779842</c:v>
                </c:pt>
                <c:pt idx="19">
                  <c:v>47166443.148012228</c:v>
                </c:pt>
                <c:pt idx="20">
                  <c:v>41876748.589356646</c:v>
                </c:pt>
                <c:pt idx="21">
                  <c:v>37027861.910589032</c:v>
                </c:pt>
                <c:pt idx="22">
                  <c:v>31738167.351933457</c:v>
                </c:pt>
                <c:pt idx="23">
                  <c:v>26889280.673165843</c:v>
                </c:pt>
                <c:pt idx="24">
                  <c:v>21599586.114510264</c:v>
                </c:pt>
                <c:pt idx="25">
                  <c:v>16750699.43574265</c:v>
                </c:pt>
                <c:pt idx="26">
                  <c:v>11461004.877087072</c:v>
                </c:pt>
              </c:numCache>
            </c:numRef>
          </c:val>
          <c:extLst xmlns:c16r2="http://schemas.microsoft.com/office/drawing/2015/06/chart">
            <c:ext xmlns:c16="http://schemas.microsoft.com/office/drawing/2014/chart" uri="{C3380CC4-5D6E-409C-BE32-E72D297353CC}">
              <c16:uniqueId val="{00000001-D388-4EFB-B89A-4090271A1983}"/>
            </c:ext>
          </c:extLst>
        </c:ser>
        <c:ser>
          <c:idx val="2"/>
          <c:order val="2"/>
          <c:tx>
            <c:v>NPV</c:v>
          </c:tx>
          <c:spPr>
            <a:ln w="28575" cap="rnd">
              <a:solidFill>
                <a:schemeClr val="bg1">
                  <a:lumMod val="75000"/>
                </a:schemeClr>
              </a:solidFill>
              <a:round/>
            </a:ln>
            <a:effectLst/>
          </c:spPr>
          <c:marker>
            <c:symbol val="none"/>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16019323.52559129</c:v>
                </c:pt>
                <c:pt idx="1">
                  <c:v>16452278.215472138</c:v>
                </c:pt>
                <c:pt idx="2">
                  <c:v>17058414.781305321</c:v>
                </c:pt>
                <c:pt idx="3">
                  <c:v>17491369.471186168</c:v>
                </c:pt>
                <c:pt idx="4">
                  <c:v>17751142.285114676</c:v>
                </c:pt>
                <c:pt idx="5">
                  <c:v>17837733.223090842</c:v>
                </c:pt>
                <c:pt idx="6">
                  <c:v>17751142.285114676</c:v>
                </c:pt>
                <c:pt idx="7">
                  <c:v>17491369.471186168</c:v>
                </c:pt>
                <c:pt idx="8">
                  <c:v>17058414.781305321</c:v>
                </c:pt>
                <c:pt idx="9">
                  <c:v>16452278.215472138</c:v>
                </c:pt>
                <c:pt idx="10">
                  <c:v>15672959.773686614</c:v>
                </c:pt>
                <c:pt idx="11">
                  <c:v>14720459.455948751</c:v>
                </c:pt>
                <c:pt idx="12">
                  <c:v>13594777.262258552</c:v>
                </c:pt>
                <c:pt idx="13">
                  <c:v>12295913.192616014</c:v>
                </c:pt>
                <c:pt idx="14">
                  <c:v>10823867.247021139</c:v>
                </c:pt>
                <c:pt idx="15">
                  <c:v>9178639.4254739247</c:v>
                </c:pt>
                <c:pt idx="16">
                  <c:v>7360229.7279743729</c:v>
                </c:pt>
                <c:pt idx="17">
                  <c:v>5368638.1545224823</c:v>
                </c:pt>
                <c:pt idx="18">
                  <c:v>3203864.7051182538</c:v>
                </c:pt>
                <c:pt idx="19">
                  <c:v>865909.37976168701</c:v>
                </c:pt>
                <c:pt idx="20">
                  <c:v>-1645227.8215472181</c:v>
                </c:pt>
                <c:pt idx="21">
                  <c:v>-4329546.8988084616</c:v>
                </c:pt>
                <c:pt idx="22">
                  <c:v>-7187047.8520220425</c:v>
                </c:pt>
                <c:pt idx="23">
                  <c:v>-10217730.681187963</c:v>
                </c:pt>
                <c:pt idx="24">
                  <c:v>-13421595.386306221</c:v>
                </c:pt>
                <c:pt idx="25">
                  <c:v>-16798641.967376817</c:v>
                </c:pt>
                <c:pt idx="26">
                  <c:v>-20348870.424399752</c:v>
                </c:pt>
              </c:numCache>
            </c:numRef>
          </c:val>
          <c:extLst xmlns:c16r2="http://schemas.microsoft.com/office/drawing/2015/06/chart">
            <c:ext xmlns:c16="http://schemas.microsoft.com/office/drawing/2014/chart" uri="{C3380CC4-5D6E-409C-BE32-E72D297353CC}">
              <c16:uniqueId val="{00000002-D388-4EFB-B89A-4090271A1983}"/>
            </c:ext>
          </c:extLst>
        </c:ser>
        <c:marker val="1"/>
        <c:axId val="89544192"/>
        <c:axId val="89546112"/>
      </c:lineChart>
      <c:catAx>
        <c:axId val="89544192"/>
        <c:scaling>
          <c:orientation val="minMax"/>
        </c:scaling>
        <c:axPos val="b"/>
        <c:title>
          <c:tx>
            <c:rich>
              <a:bodyPr rot="0" vert="horz"/>
              <a:lstStyle/>
              <a:p>
                <a:pPr>
                  <a:defRPr/>
                </a:pPr>
                <a:r>
                  <a:rPr lang="ru-RU"/>
                  <a:t>Процентное изменение цены продукта</a:t>
                </a:r>
              </a:p>
            </c:rich>
          </c:tx>
          <c:layout/>
          <c:spPr>
            <a:noFill/>
            <a:ln>
              <a:noFill/>
            </a:ln>
            <a:effectLst/>
          </c:spPr>
        </c:title>
        <c:numFmt formatCode="0%" sourceLinked="1"/>
        <c:maj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89546112"/>
        <c:crosses val="autoZero"/>
        <c:auto val="1"/>
        <c:lblAlgn val="ctr"/>
        <c:lblOffset val="100"/>
      </c:catAx>
      <c:valAx>
        <c:axId val="89546112"/>
        <c:scaling>
          <c:orientation val="minMax"/>
        </c:scaling>
        <c:axPos val="l"/>
        <c:majorGridlines>
          <c:spPr>
            <a:ln w="9525" cap="flat" cmpd="sng" algn="ctr">
              <a:solidFill>
                <a:schemeClr val="tx1">
                  <a:lumMod val="15000"/>
                  <a:lumOff val="85000"/>
                </a:schemeClr>
              </a:solidFill>
              <a:round/>
            </a:ln>
            <a:effectLst/>
          </c:spPr>
        </c:majorGridlines>
        <c:numFmt formatCode="#,##0" sourceLinked="0"/>
        <c:majorTickMark val="none"/>
        <c:tickLblPos val="nextTo"/>
        <c:spPr>
          <a:noFill/>
          <a:ln>
            <a:noFill/>
          </a:ln>
          <a:effectLst/>
        </c:spPr>
        <c:txPr>
          <a:bodyPr rot="-60000000" vert="horz"/>
          <a:lstStyle/>
          <a:p>
            <a:pPr>
              <a:defRPr/>
            </a:pPr>
            <a:endParaRPr lang="ru-RU"/>
          </a:p>
        </c:txPr>
        <c:crossAx val="89544192"/>
        <c:crosses val="autoZero"/>
        <c:crossBetween val="between"/>
      </c:valAx>
      <c:spPr>
        <a:noFill/>
        <a:ln>
          <a:noFill/>
        </a:ln>
        <a:effectLst/>
      </c:spPr>
    </c:plotArea>
    <c:legend>
      <c:legendPos val="b"/>
      <c:layout/>
      <c:spPr>
        <a:noFill/>
        <a:ln>
          <a:noFill/>
        </a:ln>
        <a:effectLst/>
      </c:spPr>
      <c:txPr>
        <a:bodyPr rot="0" vert="horz"/>
        <a:lstStyle/>
        <a:p>
          <a:pPr>
            <a:defRPr/>
          </a:pPr>
          <a:endParaRPr lang="ru-RU"/>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ru-RU"/>
  <c:chart>
    <c:title>
      <c:tx>
        <c:rich>
          <a:bodyPr rot="0" vert="horz"/>
          <a:lstStyle/>
          <a:p>
            <a:pPr>
              <a:defRPr b="1"/>
            </a:pPr>
            <a:r>
              <a:rPr lang="ru-RU" b="1"/>
              <a:t>Изменение себестоимости</a:t>
            </a:r>
          </a:p>
        </c:rich>
      </c:tx>
      <c:spPr>
        <a:noFill/>
        <a:ln>
          <a:noFill/>
        </a:ln>
        <a:effectLst/>
      </c:spPr>
    </c:title>
    <c:plotArea>
      <c:layout/>
      <c:lineChart>
        <c:grouping val="standard"/>
        <c:ser>
          <c:idx val="0"/>
          <c:order val="0"/>
          <c:tx>
            <c:v>Выручка</c:v>
          </c:tx>
          <c:spPr>
            <a:ln w="28575" cap="rnd">
              <a:solidFill>
                <a:schemeClr val="tx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88278064.36680451</c:v>
                </c:pt>
                <c:pt idx="1">
                  <c:v>90663957.998339772</c:v>
                </c:pt>
                <c:pt idx="2">
                  <c:v>93646325.037758842</c:v>
                </c:pt>
                <c:pt idx="3">
                  <c:v>97225165.485061735</c:v>
                </c:pt>
                <c:pt idx="4">
                  <c:v>100207532.5244808</c:v>
                </c:pt>
                <c:pt idx="5">
                  <c:v>102593426.15601607</c:v>
                </c:pt>
                <c:pt idx="6">
                  <c:v>104382846.37966751</c:v>
                </c:pt>
                <c:pt idx="7">
                  <c:v>105575793.19543514</c:v>
                </c:pt>
                <c:pt idx="8">
                  <c:v>106172266.60331896</c:v>
                </c:pt>
                <c:pt idx="9">
                  <c:v>106172266.60331896</c:v>
                </c:pt>
                <c:pt idx="10">
                  <c:v>105575793.19543514</c:v>
                </c:pt>
                <c:pt idx="11">
                  <c:v>104382846.37966751</c:v>
                </c:pt>
                <c:pt idx="12">
                  <c:v>102593426.15601607</c:v>
                </c:pt>
                <c:pt idx="13">
                  <c:v>100207532.5244808</c:v>
                </c:pt>
                <c:pt idx="14">
                  <c:v>97225165.485061735</c:v>
                </c:pt>
                <c:pt idx="15">
                  <c:v>93646325.037758842</c:v>
                </c:pt>
                <c:pt idx="16">
                  <c:v>89471011.182572141</c:v>
                </c:pt>
                <c:pt idx="17">
                  <c:v>84699223.919501618</c:v>
                </c:pt>
                <c:pt idx="18">
                  <c:v>79330963.248547286</c:v>
                </c:pt>
                <c:pt idx="19">
                  <c:v>73366229.169709146</c:v>
                </c:pt>
                <c:pt idx="20">
                  <c:v>66805021.682987176</c:v>
                </c:pt>
                <c:pt idx="21">
                  <c:v>59647340.788381405</c:v>
                </c:pt>
                <c:pt idx="22">
                  <c:v>51893186.485891834</c:v>
                </c:pt>
              </c:numCache>
            </c:numRef>
          </c:val>
          <c:extLst xmlns:c16r2="http://schemas.microsoft.com/office/drawing/2015/06/chart">
            <c:ext xmlns:c16="http://schemas.microsoft.com/office/drawing/2014/chart" uri="{C3380CC4-5D6E-409C-BE32-E72D297353CC}">
              <c16:uniqueId val="{00000000-001B-4C52-ACB5-40A024A3300F}"/>
            </c:ext>
          </c:extLst>
        </c:ser>
        <c:ser>
          <c:idx val="1"/>
          <c:order val="1"/>
          <c:tx>
            <c:v>Затраты</c:v>
          </c:tx>
          <c:spPr>
            <a:ln w="28575" cap="rnd">
              <a:solidFill>
                <a:srgbClr val="3AAA35"/>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65239566.223418802</c:v>
                </c:pt>
                <c:pt idx="1">
                  <c:v>67002797.74297066</c:v>
                </c:pt>
                <c:pt idx="2">
                  <c:v>68854190.838500112</c:v>
                </c:pt>
                <c:pt idx="3">
                  <c:v>70793745.510007158</c:v>
                </c:pt>
                <c:pt idx="4">
                  <c:v>72821461.757491797</c:v>
                </c:pt>
                <c:pt idx="5">
                  <c:v>74937339.58095403</c:v>
                </c:pt>
                <c:pt idx="6">
                  <c:v>77141378.980393857</c:v>
                </c:pt>
                <c:pt idx="7">
                  <c:v>79433579.955811277</c:v>
                </c:pt>
                <c:pt idx="8">
                  <c:v>81813942.507206291</c:v>
                </c:pt>
                <c:pt idx="9">
                  <c:v>84282466.634578899</c:v>
                </c:pt>
                <c:pt idx="10">
                  <c:v>86839152.3379291</c:v>
                </c:pt>
                <c:pt idx="11">
                  <c:v>89483999.61725688</c:v>
                </c:pt>
                <c:pt idx="12">
                  <c:v>92217008.472562253</c:v>
                </c:pt>
                <c:pt idx="13">
                  <c:v>95038178.903845236</c:v>
                </c:pt>
                <c:pt idx="14">
                  <c:v>97947510.911105797</c:v>
                </c:pt>
                <c:pt idx="15">
                  <c:v>100945004.49434395</c:v>
                </c:pt>
                <c:pt idx="16">
                  <c:v>104030659.6535597</c:v>
                </c:pt>
                <c:pt idx="17">
                  <c:v>107204476.38875306</c:v>
                </c:pt>
                <c:pt idx="18">
                  <c:v>110466454.69992399</c:v>
                </c:pt>
                <c:pt idx="19">
                  <c:v>113816594.58707252</c:v>
                </c:pt>
                <c:pt idx="20">
                  <c:v>117254896.05019864</c:v>
                </c:pt>
                <c:pt idx="21">
                  <c:v>120781359.08930236</c:v>
                </c:pt>
                <c:pt idx="22">
                  <c:v>124395983.70438367</c:v>
                </c:pt>
              </c:numCache>
            </c:numRef>
          </c:val>
          <c:extLst xmlns:c16r2="http://schemas.microsoft.com/office/drawing/2015/06/chart">
            <c:ext xmlns:c16="http://schemas.microsoft.com/office/drawing/2014/chart" uri="{C3380CC4-5D6E-409C-BE32-E72D297353CC}">
              <c16:uniqueId val="{00000001-001B-4C52-ACB5-40A024A3300F}"/>
            </c:ext>
          </c:extLst>
        </c:ser>
        <c:ser>
          <c:idx val="2"/>
          <c:order val="2"/>
          <c:tx>
            <c:v>NPV</c:v>
          </c:tx>
          <c:spPr>
            <a:ln w="28575" cap="rnd">
              <a:solidFill>
                <a:schemeClr val="bg1">
                  <a:lumMod val="75000"/>
                </a:schemeClr>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16019323.52559129</c:v>
                </c:pt>
                <c:pt idx="1">
                  <c:v>16452278.215472138</c:v>
                </c:pt>
                <c:pt idx="2">
                  <c:v>17209948.922763616</c:v>
                </c:pt>
                <c:pt idx="3">
                  <c:v>18292335.647465732</c:v>
                </c:pt>
                <c:pt idx="4">
                  <c:v>19699438.389578484</c:v>
                </c:pt>
                <c:pt idx="5">
                  <c:v>21431257.149101865</c:v>
                </c:pt>
                <c:pt idx="6">
                  <c:v>22838359.891214613</c:v>
                </c:pt>
                <c:pt idx="7">
                  <c:v>23920746.615916729</c:v>
                </c:pt>
                <c:pt idx="8">
                  <c:v>24678417.323208209</c:v>
                </c:pt>
                <c:pt idx="9">
                  <c:v>25111372.013089053</c:v>
                </c:pt>
                <c:pt idx="10">
                  <c:v>25219610.685559262</c:v>
                </c:pt>
                <c:pt idx="11">
                  <c:v>25003133.340618841</c:v>
                </c:pt>
                <c:pt idx="12">
                  <c:v>24461939.978267785</c:v>
                </c:pt>
                <c:pt idx="13">
                  <c:v>23596030.598506093</c:v>
                </c:pt>
                <c:pt idx="14">
                  <c:v>22405405.201333769</c:v>
                </c:pt>
                <c:pt idx="15">
                  <c:v>20890063.786750808</c:v>
                </c:pt>
                <c:pt idx="16">
                  <c:v>19050006.354757212</c:v>
                </c:pt>
                <c:pt idx="17">
                  <c:v>16885232.905352984</c:v>
                </c:pt>
                <c:pt idx="18">
                  <c:v>14395743.438538123</c:v>
                </c:pt>
                <c:pt idx="19">
                  <c:v>11581537.954312626</c:v>
                </c:pt>
                <c:pt idx="20">
                  <c:v>8442616.4526764937</c:v>
                </c:pt>
                <c:pt idx="21">
                  <c:v>4978978.9336297279</c:v>
                </c:pt>
                <c:pt idx="22">
                  <c:v>1190625.3971723286</c:v>
                </c:pt>
              </c:numCache>
            </c:numRef>
          </c:val>
          <c:extLst xmlns:c16r2="http://schemas.microsoft.com/office/drawing/2015/06/chart">
            <c:ext xmlns:c16="http://schemas.microsoft.com/office/drawing/2014/chart" uri="{C3380CC4-5D6E-409C-BE32-E72D297353CC}">
              <c16:uniqueId val="{00000002-001B-4C52-ACB5-40A024A3300F}"/>
            </c:ext>
          </c:extLst>
        </c:ser>
        <c:marker val="1"/>
        <c:axId val="89792896"/>
        <c:axId val="89794816"/>
      </c:lineChart>
      <c:catAx>
        <c:axId val="89792896"/>
        <c:scaling>
          <c:orientation val="minMax"/>
        </c:scaling>
        <c:axPos val="b"/>
        <c:title>
          <c:tx>
            <c:rich>
              <a:bodyPr/>
              <a:lstStyle/>
              <a:p>
                <a:pPr>
                  <a:defRPr b="0"/>
                </a:pPr>
                <a:r>
                  <a:rPr lang="ru-RU" b="0"/>
                  <a:t>Процентное изменение себестоимости продукции</a:t>
                </a:r>
              </a:p>
            </c:rich>
          </c:tx>
        </c:title>
        <c:numFmt formatCode="0%" sourceLinked="1"/>
        <c:maj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89794816"/>
        <c:crosses val="autoZero"/>
        <c:auto val="1"/>
        <c:lblAlgn val="ctr"/>
        <c:lblOffset val="100"/>
      </c:catAx>
      <c:valAx>
        <c:axId val="89794816"/>
        <c:scaling>
          <c:orientation val="minMax"/>
        </c:scaling>
        <c:axPos val="l"/>
        <c:majorGridlines>
          <c:spPr>
            <a:ln w="9525" cap="flat" cmpd="sng" algn="ctr">
              <a:solidFill>
                <a:schemeClr val="tx1">
                  <a:lumMod val="15000"/>
                  <a:lumOff val="85000"/>
                </a:schemeClr>
              </a:solidFill>
              <a:round/>
            </a:ln>
            <a:effectLst/>
          </c:spPr>
        </c:majorGridlines>
        <c:numFmt formatCode="#,##0" sourceLinked="0"/>
        <c:majorTickMark val="none"/>
        <c:tickLblPos val="nextTo"/>
        <c:spPr>
          <a:noFill/>
          <a:ln>
            <a:noFill/>
          </a:ln>
          <a:effectLst/>
        </c:spPr>
        <c:txPr>
          <a:bodyPr rot="-60000000" vert="horz"/>
          <a:lstStyle/>
          <a:p>
            <a:pPr>
              <a:defRPr/>
            </a:pPr>
            <a:endParaRPr lang="ru-RU"/>
          </a:p>
        </c:txPr>
        <c:crossAx val="89792896"/>
        <c:crosses val="autoZero"/>
        <c:crossBetween val="between"/>
      </c:valAx>
      <c:spPr>
        <a:noFill/>
        <a:ln>
          <a:noFill/>
        </a:ln>
        <a:effectLst/>
      </c:spPr>
    </c:plotArea>
    <c:legend>
      <c:legendPos val="b"/>
      <c:spPr>
        <a:noFill/>
        <a:ln>
          <a:noFill/>
        </a:ln>
        <a:effectLst/>
      </c:spPr>
      <c:txPr>
        <a:bodyPr rot="0" vert="horz"/>
        <a:lstStyle/>
        <a:p>
          <a:pPr>
            <a:defRPr/>
          </a:pPr>
          <a:endParaRPr lang="ru-RU"/>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ru-RU"/>
  <c:chart>
    <c:title>
      <c:tx>
        <c:rich>
          <a:bodyPr rot="0" vert="horz"/>
          <a:lstStyle/>
          <a:p>
            <a:pPr>
              <a:defRPr b="1"/>
            </a:pPr>
            <a:r>
              <a:rPr lang="ru-RU" b="1"/>
              <a:t>Изменение выручки</a:t>
            </a:r>
          </a:p>
        </c:rich>
      </c:tx>
      <c:spPr>
        <a:noFill/>
        <a:ln>
          <a:noFill/>
        </a:ln>
        <a:effectLst/>
      </c:spPr>
    </c:title>
    <c:plotArea>
      <c:layout/>
      <c:lineChart>
        <c:grouping val="standard"/>
        <c:ser>
          <c:idx val="0"/>
          <c:order val="0"/>
          <c:tx>
            <c:v>Выручка</c:v>
          </c:tx>
          <c:spPr>
            <a:ln w="28575" cap="rnd">
              <a:solidFill>
                <a:sysClr val="windowText" lastClr="000000"/>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Лист1!$Q$102:$Y$102</c:f>
              <c:numCache>
                <c:formatCode>#,##0</c:formatCode>
                <c:ptCount val="9"/>
                <c:pt idx="0">
                  <c:v>23858936.315352574</c:v>
                </c:pt>
                <c:pt idx="1">
                  <c:v>47717872.630705148</c:v>
                </c:pt>
                <c:pt idx="2">
                  <c:v>71576808.946057707</c:v>
                </c:pt>
                <c:pt idx="3">
                  <c:v>95435745.261410296</c:v>
                </c:pt>
                <c:pt idx="4">
                  <c:v>119294681.57676286</c:v>
                </c:pt>
                <c:pt idx="5">
                  <c:v>143153617.89211541</c:v>
                </c:pt>
                <c:pt idx="6">
                  <c:v>167012554.20746797</c:v>
                </c:pt>
                <c:pt idx="7">
                  <c:v>190871490.52282059</c:v>
                </c:pt>
                <c:pt idx="8">
                  <c:v>214730426.83817315</c:v>
                </c:pt>
              </c:numCache>
            </c:numRef>
          </c:val>
          <c:extLst xmlns:c16r2="http://schemas.microsoft.com/office/drawing/2015/06/chart">
            <c:ext xmlns:c16="http://schemas.microsoft.com/office/drawing/2014/chart" uri="{C3380CC4-5D6E-409C-BE32-E72D297353CC}">
              <c16:uniqueId val="{00000000-C361-43E0-8108-4F8F90E72F33}"/>
            </c:ext>
          </c:extLst>
        </c:ser>
        <c:ser>
          <c:idx val="1"/>
          <c:order val="1"/>
          <c:tx>
            <c:v>Затраты</c:v>
          </c:tx>
          <c:spPr>
            <a:ln w="28575" cap="rnd">
              <a:solidFill>
                <a:srgbClr val="3AAA35"/>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Лист1!$Q$104:$Y$104</c:f>
              <c:numCache>
                <c:formatCode>General</c:formatCode>
                <c:ptCount val="9"/>
                <c:pt idx="0">
                  <c:v>33501398.87148533</c:v>
                </c:pt>
                <c:pt idx="1">
                  <c:v>44080787.988796487</c:v>
                </c:pt>
                <c:pt idx="2">
                  <c:v>57305024.385435432</c:v>
                </c:pt>
                <c:pt idx="3">
                  <c:v>71410876.541850314</c:v>
                </c:pt>
                <c:pt idx="4">
                  <c:v>88161575.977592975</c:v>
                </c:pt>
                <c:pt idx="5">
                  <c:v>105793891.17311157</c:v>
                </c:pt>
                <c:pt idx="6">
                  <c:v>127834285.16750981</c:v>
                </c:pt>
                <c:pt idx="7">
                  <c:v>149874679.16190806</c:v>
                </c:pt>
                <c:pt idx="8">
                  <c:v>176323151.95518595</c:v>
                </c:pt>
              </c:numCache>
            </c:numRef>
          </c:val>
          <c:smooth val="1"/>
          <c:extLst xmlns:c16r2="http://schemas.microsoft.com/office/drawing/2015/06/chart">
            <c:ext xmlns:c16="http://schemas.microsoft.com/office/drawing/2014/chart" uri="{C3380CC4-5D6E-409C-BE32-E72D297353CC}">
              <c16:uniqueId val="{00000001-C361-43E0-8108-4F8F90E72F33}"/>
            </c:ext>
          </c:extLst>
        </c:ser>
        <c:ser>
          <c:idx val="2"/>
          <c:order val="2"/>
          <c:tx>
            <c:v>NPV</c:v>
          </c:tx>
          <c:spPr>
            <a:ln w="28575" cap="rnd">
              <a:solidFill>
                <a:schemeClr val="bg1">
                  <a:lumMod val="75000"/>
                </a:schemeClr>
              </a:solidFill>
              <a:round/>
            </a:ln>
            <a:effectLst/>
          </c:spPr>
          <c:marker>
            <c:symbol val="none"/>
          </c:marker>
          <c:cat>
            <c:numRef>
              <c:f>Лист1!$Q$101:$Y$101</c:f>
              <c:numCache>
                <c:formatCode>0%</c:formatCode>
                <c:ptCount val="9"/>
                <c:pt idx="0">
                  <c:v>0.2</c:v>
                </c:pt>
                <c:pt idx="1">
                  <c:v>0.4</c:v>
                </c:pt>
                <c:pt idx="2">
                  <c:v>0.6</c:v>
                </c:pt>
                <c:pt idx="3">
                  <c:v>0.8</c:v>
                </c:pt>
                <c:pt idx="4">
                  <c:v>1</c:v>
                </c:pt>
                <c:pt idx="5">
                  <c:v>1.2</c:v>
                </c:pt>
                <c:pt idx="6">
                  <c:v>1.4</c:v>
                </c:pt>
                <c:pt idx="7">
                  <c:v>1.6</c:v>
                </c:pt>
                <c:pt idx="8">
                  <c:v>1.8</c:v>
                </c:pt>
              </c:numCache>
            </c:numRef>
          </c:cat>
          <c:val>
            <c:numRef>
              <c:f>Лист1!$Q$106:$Y$106</c:f>
              <c:numCache>
                <c:formatCode>General</c:formatCode>
                <c:ptCount val="9"/>
                <c:pt idx="0">
                  <c:v>4329546.898808457</c:v>
                </c:pt>
                <c:pt idx="1">
                  <c:v>8659093.7976169139</c:v>
                </c:pt>
                <c:pt idx="2">
                  <c:v>13638072.731246639</c:v>
                </c:pt>
                <c:pt idx="3">
                  <c:v>18617051.664876364</c:v>
                </c:pt>
                <c:pt idx="4">
                  <c:v>21647734.494042285</c:v>
                </c:pt>
                <c:pt idx="5">
                  <c:v>24894894.668148626</c:v>
                </c:pt>
                <c:pt idx="6">
                  <c:v>25977281.392850742</c:v>
                </c:pt>
                <c:pt idx="7">
                  <c:v>27059668.117552854</c:v>
                </c:pt>
                <c:pt idx="8">
                  <c:v>27276145.462493278</c:v>
                </c:pt>
              </c:numCache>
            </c:numRef>
          </c:val>
          <c:smooth val="1"/>
          <c:extLst xmlns:c16r2="http://schemas.microsoft.com/office/drawing/2015/06/chart">
            <c:ext xmlns:c16="http://schemas.microsoft.com/office/drawing/2014/chart" uri="{C3380CC4-5D6E-409C-BE32-E72D297353CC}">
              <c16:uniqueId val="{00000002-C361-43E0-8108-4F8F90E72F33}"/>
            </c:ext>
          </c:extLst>
        </c:ser>
        <c:marker val="1"/>
        <c:axId val="89835776"/>
        <c:axId val="98062720"/>
      </c:lineChart>
      <c:catAx>
        <c:axId val="89835776"/>
        <c:scaling>
          <c:orientation val="minMax"/>
        </c:scaling>
        <c:axPos val="b"/>
        <c:title>
          <c:tx>
            <c:rich>
              <a:bodyPr/>
              <a:lstStyle/>
              <a:p>
                <a:pPr>
                  <a:defRPr b="0"/>
                </a:pPr>
                <a:r>
                  <a:rPr lang="ru-RU" b="0"/>
                  <a:t>Процентное изменение выручки</a:t>
                </a:r>
              </a:p>
            </c:rich>
          </c:tx>
        </c:title>
        <c:numFmt formatCode="0%" sourceLinked="1"/>
        <c:maj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ru-RU"/>
          </a:p>
        </c:txPr>
        <c:crossAx val="98062720"/>
        <c:crosses val="autoZero"/>
        <c:auto val="1"/>
        <c:lblAlgn val="ctr"/>
        <c:lblOffset val="100"/>
      </c:catAx>
      <c:valAx>
        <c:axId val="98062720"/>
        <c:scaling>
          <c:orientation val="minMax"/>
        </c:scaling>
        <c:axPos val="l"/>
        <c:majorGridlines>
          <c:spPr>
            <a:ln w="9525" cap="flat" cmpd="sng" algn="ctr">
              <a:solidFill>
                <a:schemeClr val="tx1">
                  <a:lumMod val="15000"/>
                  <a:lumOff val="85000"/>
                </a:schemeClr>
              </a:solidFill>
              <a:round/>
            </a:ln>
            <a:effectLst/>
          </c:spPr>
        </c:majorGridlines>
        <c:numFmt formatCode="#,##0" sourceLinked="1"/>
        <c:majorTickMark val="none"/>
        <c:tickLblPos val="nextTo"/>
        <c:spPr>
          <a:noFill/>
          <a:ln>
            <a:noFill/>
          </a:ln>
          <a:effectLst/>
        </c:spPr>
        <c:txPr>
          <a:bodyPr rot="-60000000" vert="horz"/>
          <a:lstStyle/>
          <a:p>
            <a:pPr>
              <a:defRPr/>
            </a:pPr>
            <a:endParaRPr lang="ru-RU"/>
          </a:p>
        </c:txPr>
        <c:crossAx val="89835776"/>
        <c:crosses val="autoZero"/>
        <c:crossBetween val="between"/>
      </c:valAx>
      <c:spPr>
        <a:noFill/>
        <a:ln>
          <a:noFill/>
        </a:ln>
        <a:effectLst/>
      </c:spPr>
    </c:plotArea>
    <c:legend>
      <c:legendPos val="b"/>
      <c:spPr>
        <a:noFill/>
        <a:ln>
          <a:noFill/>
        </a:ln>
        <a:effectLst/>
      </c:spPr>
      <c:txPr>
        <a:bodyPr rot="0" vert="horz"/>
        <a:lstStyle/>
        <a:p>
          <a:pPr>
            <a:defRPr/>
          </a:pPr>
          <a:endParaRPr lang="ru-RU"/>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ru-RU"/>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plotArea>
      <c:layout/>
      <c:scatterChart>
        <c:scatterStyle val="smoothMarker"/>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15"/>
              <c:pt idx="0">
                <c:v>1</c:v>
              </c:pt>
              <c:pt idx="1">
                <c:v>2</c:v>
              </c:pt>
              <c:pt idx="2">
                <c:v>3</c:v>
              </c:pt>
              <c:pt idx="3">
                <c:v>5</c:v>
              </c:pt>
              <c:pt idx="4">
                <c:v>8</c:v>
              </c:pt>
              <c:pt idx="5">
                <c:v>13</c:v>
              </c:pt>
              <c:pt idx="6">
                <c:v>21</c:v>
              </c:pt>
              <c:pt idx="7">
                <c:v>34</c:v>
              </c:pt>
              <c:pt idx="8">
                <c:v>55</c:v>
              </c:pt>
              <c:pt idx="9">
                <c:v>89</c:v>
              </c:pt>
              <c:pt idx="10">
                <c:v>144</c:v>
              </c:pt>
              <c:pt idx="11">
                <c:v>233</c:v>
              </c:pt>
              <c:pt idx="12">
                <c:v>377</c:v>
              </c:pt>
              <c:pt idx="13">
                <c:v>610</c:v>
              </c:pt>
              <c:pt idx="14">
                <c:v>987</c:v>
              </c:pt>
            </c:numLit>
          </c:yVal>
          <c:smooth val="1"/>
          <c:extLst xmlns:c16r2="http://schemas.microsoft.com/office/drawing/2015/06/chart">
            <c:ext xmlns:c16="http://schemas.microsoft.com/office/drawing/2014/chart" uri="{C3380CC4-5D6E-409C-BE32-E72D297353CC}">
              <c16:uniqueId val="{00000000-E3AD-4FFB-927E-F3F08C05C943}"/>
            </c:ext>
          </c:extLst>
        </c:ser>
        <c:axId val="100123392"/>
        <c:axId val="100124928"/>
      </c:scatterChart>
      <c:valAx>
        <c:axId val="100123392"/>
        <c:scaling>
          <c:orientation val="minMax"/>
        </c:scaling>
        <c:axPos val="b"/>
        <c:majorGridlines>
          <c:spPr>
            <a:ln w="9525" cap="flat" cmpd="sng" algn="ctr">
              <a:solidFill>
                <a:schemeClr val="tx1">
                  <a:lumMod val="15000"/>
                  <a:lumOff val="85000"/>
                </a:schemeClr>
              </a:solidFill>
              <a:round/>
            </a:ln>
            <a:effectLst/>
          </c:spPr>
        </c:majorGridlines>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0124928"/>
        <c:crosses val="autoZero"/>
        <c:crossBetween val="midCat"/>
      </c:valAx>
      <c:valAx>
        <c:axId val="100124928"/>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0123392"/>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ru-RU"/>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plotArea>
      <c:layout/>
      <c:scatterChart>
        <c:scatterStyle val="smoothMarker"/>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yVal>
            <c:numLit>
              <c:formatCode>General</c:formatCode>
              <c:ptCount val="4"/>
              <c:pt idx="0">
                <c:v>987</c:v>
              </c:pt>
              <c:pt idx="1">
                <c:v>810</c:v>
              </c:pt>
              <c:pt idx="2">
                <c:v>400</c:v>
              </c:pt>
              <c:pt idx="3">
                <c:v>233</c:v>
              </c:pt>
            </c:numLit>
          </c:yVal>
          <c:smooth val="1"/>
          <c:extLst xmlns:c16r2="http://schemas.microsoft.com/office/drawing/2015/06/chart">
            <c:ext xmlns:c16="http://schemas.microsoft.com/office/drawing/2014/chart" uri="{C3380CC4-5D6E-409C-BE32-E72D297353CC}">
              <c16:uniqueId val="{00000000-3942-4B8E-977A-7337FA786DB6}"/>
            </c:ext>
          </c:extLst>
        </c:ser>
        <c:axId val="98305920"/>
        <c:axId val="98307456"/>
      </c:scatterChart>
      <c:valAx>
        <c:axId val="98305920"/>
        <c:scaling>
          <c:orientation val="minMax"/>
        </c:scaling>
        <c:axPos val="b"/>
        <c:majorGridlines>
          <c:spPr>
            <a:ln w="9525" cap="flat" cmpd="sng" algn="ctr">
              <a:solidFill>
                <a:schemeClr val="tx1">
                  <a:lumMod val="15000"/>
                  <a:lumOff val="85000"/>
                </a:schemeClr>
              </a:solidFill>
              <a:round/>
            </a:ln>
            <a:effectLst/>
          </c:spPr>
        </c:majorGridlines>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98307456"/>
        <c:crosses val="autoZero"/>
        <c:crossBetween val="midCat"/>
      </c:valAx>
      <c:valAx>
        <c:axId val="98307456"/>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9830592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ru-RU"/>
  <c:chart>
    <c:title>
      <c:tx>
        <c:rich>
          <a:bodyPr/>
          <a:lstStyle/>
          <a:p>
            <a:pPr>
              <a:defRPr/>
            </a:pPr>
            <a:r>
              <a:rPr lang="ru-RU"/>
              <a:t>Изменение цены продукта</a:t>
            </a:r>
          </a:p>
        </c:rich>
      </c:tx>
    </c:title>
    <c:plotArea>
      <c:layout/>
      <c:lineChart>
        <c:grouping val="standard"/>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Лист1!$E$56:$AE$56</c:f>
              <c:numCache>
                <c:formatCode>General</c:formatCode>
                <c:ptCount val="27"/>
                <c:pt idx="0">
                  <c:v>88278064.36680451</c:v>
                </c:pt>
                <c:pt idx="1">
                  <c:v>90663957.998339772</c:v>
                </c:pt>
                <c:pt idx="2">
                  <c:v>94242798.445642665</c:v>
                </c:pt>
                <c:pt idx="3">
                  <c:v>97225165.485061735</c:v>
                </c:pt>
                <c:pt idx="4">
                  <c:v>99611059.116596997</c:v>
                </c:pt>
                <c:pt idx="5">
                  <c:v>101400479.34024844</c:v>
                </c:pt>
                <c:pt idx="6">
                  <c:v>102593426.15601607</c:v>
                </c:pt>
                <c:pt idx="7">
                  <c:v>103189899.56389987</c:v>
                </c:pt>
                <c:pt idx="8">
                  <c:v>103189899.56389987</c:v>
                </c:pt>
                <c:pt idx="9">
                  <c:v>102593426.15601607</c:v>
                </c:pt>
                <c:pt idx="10">
                  <c:v>101400479.34024844</c:v>
                </c:pt>
                <c:pt idx="11">
                  <c:v>99611059.116596997</c:v>
                </c:pt>
                <c:pt idx="12">
                  <c:v>97225165.485061735</c:v>
                </c:pt>
                <c:pt idx="13">
                  <c:v>94242798.445642665</c:v>
                </c:pt>
                <c:pt idx="14">
                  <c:v>90663957.998339772</c:v>
                </c:pt>
                <c:pt idx="15">
                  <c:v>86488644.143153071</c:v>
                </c:pt>
                <c:pt idx="16">
                  <c:v>81716856.880082548</c:v>
                </c:pt>
                <c:pt idx="17">
                  <c:v>76348596.209128216</c:v>
                </c:pt>
                <c:pt idx="18">
                  <c:v>70383862.130290061</c:v>
                </c:pt>
                <c:pt idx="19">
                  <c:v>63822654.643568106</c:v>
                </c:pt>
                <c:pt idx="20">
                  <c:v>56664973.748962335</c:v>
                </c:pt>
                <c:pt idx="21">
                  <c:v>48910819.446472764</c:v>
                </c:pt>
                <c:pt idx="22">
                  <c:v>40560191.736099362</c:v>
                </c:pt>
                <c:pt idx="23">
                  <c:v>31613090.617842145</c:v>
                </c:pt>
                <c:pt idx="24">
                  <c:v>22069516.091701116</c:v>
                </c:pt>
                <c:pt idx="25">
                  <c:v>11929468.157676272</c:v>
                </c:pt>
                <c:pt idx="26">
                  <c:v>1192946.8157676146</c:v>
                </c:pt>
              </c:numCache>
            </c:numRef>
          </c:val>
          <c:extLst xmlns:c16r2="http://schemas.microsoft.com/office/drawing/2015/06/chart">
            <c:ext xmlns:c16="http://schemas.microsoft.com/office/drawing/2014/chart" uri="{C3380CC4-5D6E-409C-BE32-E72D297353CC}">
              <c16:uniqueId val="{00000000-DF46-4453-8F8A-B21B31BA39D4}"/>
            </c:ext>
          </c:extLst>
        </c:ser>
        <c:ser>
          <c:idx val="1"/>
          <c:order val="1"/>
          <c:tx>
            <c:v>Затраты</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Лист1!$E$59:$AE$59</c:f>
              <c:numCache>
                <c:formatCode>General</c:formatCode>
                <c:ptCount val="27"/>
                <c:pt idx="0">
                  <c:v>65239566.223418802</c:v>
                </c:pt>
                <c:pt idx="1">
                  <c:v>67002797.74297066</c:v>
                </c:pt>
                <c:pt idx="2">
                  <c:v>69647645.022298455</c:v>
                </c:pt>
                <c:pt idx="3">
                  <c:v>71851684.421738282</c:v>
                </c:pt>
                <c:pt idx="4">
                  <c:v>73614915.94129014</c:v>
                </c:pt>
                <c:pt idx="5">
                  <c:v>74937339.58095403</c:v>
                </c:pt>
                <c:pt idx="6">
                  <c:v>75818955.340729967</c:v>
                </c:pt>
                <c:pt idx="7">
                  <c:v>76259763.220617935</c:v>
                </c:pt>
                <c:pt idx="8">
                  <c:v>76259763.220617935</c:v>
                </c:pt>
                <c:pt idx="9">
                  <c:v>75818955.340729967</c:v>
                </c:pt>
                <c:pt idx="10">
                  <c:v>74937339.58095403</c:v>
                </c:pt>
                <c:pt idx="11">
                  <c:v>73614915.94129014</c:v>
                </c:pt>
                <c:pt idx="12">
                  <c:v>71851684.421738282</c:v>
                </c:pt>
                <c:pt idx="13">
                  <c:v>69647645.022298455</c:v>
                </c:pt>
                <c:pt idx="14">
                  <c:v>67002797.74297066</c:v>
                </c:pt>
                <c:pt idx="15">
                  <c:v>63917142.583754905</c:v>
                </c:pt>
                <c:pt idx="16">
                  <c:v>60390679.544651181</c:v>
                </c:pt>
                <c:pt idx="17">
                  <c:v>56423408.625659496</c:v>
                </c:pt>
                <c:pt idx="18">
                  <c:v>52015329.826779842</c:v>
                </c:pt>
                <c:pt idx="19">
                  <c:v>47166443.148012228</c:v>
                </c:pt>
                <c:pt idx="20">
                  <c:v>41876748.589356646</c:v>
                </c:pt>
                <c:pt idx="21">
                  <c:v>37027861.910589032</c:v>
                </c:pt>
                <c:pt idx="22">
                  <c:v>31738167.351933457</c:v>
                </c:pt>
                <c:pt idx="23">
                  <c:v>26889280.673165843</c:v>
                </c:pt>
                <c:pt idx="24">
                  <c:v>21599586.114510264</c:v>
                </c:pt>
                <c:pt idx="25">
                  <c:v>16750699.43574265</c:v>
                </c:pt>
                <c:pt idx="26">
                  <c:v>11461004.877087072</c:v>
                </c:pt>
              </c:numCache>
            </c:numRef>
          </c:val>
          <c:extLst xmlns:c16r2="http://schemas.microsoft.com/office/drawing/2015/06/chart">
            <c:ext xmlns:c16="http://schemas.microsoft.com/office/drawing/2014/chart" uri="{C3380CC4-5D6E-409C-BE32-E72D297353CC}">
              <c16:uniqueId val="{00000001-DF46-4453-8F8A-B21B31BA39D4}"/>
            </c:ext>
          </c:extLst>
        </c:ser>
        <c:ser>
          <c:idx val="2"/>
          <c:order val="2"/>
          <c:tx>
            <c:v>NPV</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Лист1!$E$53:$AE$53</c:f>
              <c:numCache>
                <c:formatCode>0%</c:formatCode>
                <c:ptCount val="27"/>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pt idx="23">
                  <c:v>1.4200000000000004</c:v>
                </c:pt>
                <c:pt idx="24">
                  <c:v>1.4500000000000004</c:v>
                </c:pt>
                <c:pt idx="25">
                  <c:v>1.4800000000000004</c:v>
                </c:pt>
                <c:pt idx="26">
                  <c:v>1.5100000000000005</c:v>
                </c:pt>
              </c:numCache>
            </c:numRef>
          </c:cat>
          <c:val>
            <c:numRef>
              <c:f>Лист1!$E$62:$AE$62</c:f>
              <c:numCache>
                <c:formatCode>General</c:formatCode>
                <c:ptCount val="27"/>
                <c:pt idx="0">
                  <c:v>16019323.52559129</c:v>
                </c:pt>
                <c:pt idx="1">
                  <c:v>16452278.215472138</c:v>
                </c:pt>
                <c:pt idx="2">
                  <c:v>17058414.781305321</c:v>
                </c:pt>
                <c:pt idx="3">
                  <c:v>17491369.471186168</c:v>
                </c:pt>
                <c:pt idx="4">
                  <c:v>17751142.285114676</c:v>
                </c:pt>
                <c:pt idx="5">
                  <c:v>17837733.223090842</c:v>
                </c:pt>
                <c:pt idx="6">
                  <c:v>17751142.285114676</c:v>
                </c:pt>
                <c:pt idx="7">
                  <c:v>17491369.471186168</c:v>
                </c:pt>
                <c:pt idx="8">
                  <c:v>17058414.781305321</c:v>
                </c:pt>
                <c:pt idx="9">
                  <c:v>16452278.215472138</c:v>
                </c:pt>
                <c:pt idx="10">
                  <c:v>15672959.773686614</c:v>
                </c:pt>
                <c:pt idx="11">
                  <c:v>14720459.455948751</c:v>
                </c:pt>
                <c:pt idx="12">
                  <c:v>13594777.262258552</c:v>
                </c:pt>
                <c:pt idx="13">
                  <c:v>12295913.192616014</c:v>
                </c:pt>
                <c:pt idx="14">
                  <c:v>10823867.247021139</c:v>
                </c:pt>
                <c:pt idx="15">
                  <c:v>9178639.4254739247</c:v>
                </c:pt>
                <c:pt idx="16">
                  <c:v>7360229.7279743729</c:v>
                </c:pt>
                <c:pt idx="17">
                  <c:v>5368638.1545224823</c:v>
                </c:pt>
                <c:pt idx="18">
                  <c:v>3203864.7051182538</c:v>
                </c:pt>
                <c:pt idx="19">
                  <c:v>865909.37976168701</c:v>
                </c:pt>
                <c:pt idx="20">
                  <c:v>-1645227.8215472181</c:v>
                </c:pt>
                <c:pt idx="21">
                  <c:v>-4329546.8988084616</c:v>
                </c:pt>
                <c:pt idx="22">
                  <c:v>-7187047.8520220425</c:v>
                </c:pt>
                <c:pt idx="23">
                  <c:v>-10217730.681187963</c:v>
                </c:pt>
                <c:pt idx="24">
                  <c:v>-13421595.386306221</c:v>
                </c:pt>
                <c:pt idx="25">
                  <c:v>-16798641.967376817</c:v>
                </c:pt>
                <c:pt idx="26">
                  <c:v>-20348870.424399752</c:v>
                </c:pt>
              </c:numCache>
            </c:numRef>
          </c:val>
          <c:extLst xmlns:c16r2="http://schemas.microsoft.com/office/drawing/2015/06/chart">
            <c:ext xmlns:c16="http://schemas.microsoft.com/office/drawing/2014/chart" uri="{C3380CC4-5D6E-409C-BE32-E72D297353CC}">
              <c16:uniqueId val="{00000002-DF46-4453-8F8A-B21B31BA39D4}"/>
            </c:ext>
          </c:extLst>
        </c:ser>
        <c:marker val="1"/>
        <c:axId val="98362880"/>
        <c:axId val="98364800"/>
      </c:lineChart>
      <c:catAx>
        <c:axId val="98362880"/>
        <c:scaling>
          <c:orientation val="minMax"/>
        </c:scaling>
        <c:axPos val="b"/>
        <c:title>
          <c:tx>
            <c:rich>
              <a:bodyPr/>
              <a:lstStyle/>
              <a:p>
                <a:pPr>
                  <a:defRPr/>
                </a:pPr>
                <a:r>
                  <a:rPr lang="ru-RU"/>
                  <a:t>Процентное изменение цены продукта</a:t>
                </a:r>
              </a:p>
            </c:rich>
          </c:tx>
        </c:title>
        <c:numFmt formatCode="0%"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98364800"/>
        <c:crosses val="autoZero"/>
        <c:auto val="1"/>
        <c:lblAlgn val="ctr"/>
        <c:lblOffset val="100"/>
      </c:catAx>
      <c:valAx>
        <c:axId val="98364800"/>
        <c:scaling>
          <c:orientation val="minMax"/>
        </c:scaling>
        <c:axPos val="l"/>
        <c:majorGridlines>
          <c:spPr>
            <a:ln w="9525" cap="flat" cmpd="sng" algn="ctr">
              <a:solidFill>
                <a:schemeClr val="tx1">
                  <a:lumMod val="15000"/>
                  <a:lumOff val="85000"/>
                </a:schemeClr>
              </a:solidFill>
              <a:round/>
            </a:ln>
            <a:effectLst/>
          </c:spPr>
        </c:majorGridlines>
        <c:numFmt formatCode="#,##0" sourceLinked="0"/>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98362880"/>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ru-RU"/>
  <c:chart>
    <c:title>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plotArea>
      <c:layout/>
      <c:lineChart>
        <c:grouping val="standard"/>
        <c:ser>
          <c:idx val="0"/>
          <c:order val="0"/>
          <c:tx>
            <c:v>Выручка</c:v>
          </c:tx>
          <c:spPr>
            <a:ln w="28575" cap="rnd">
              <a:solidFill>
                <a:schemeClr val="accent1"/>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Лист1!$E$88:$AA$88</c:f>
              <c:numCache>
                <c:formatCode>General</c:formatCode>
                <c:ptCount val="23"/>
                <c:pt idx="0">
                  <c:v>88278064.36680451</c:v>
                </c:pt>
                <c:pt idx="1">
                  <c:v>90663957.998339772</c:v>
                </c:pt>
                <c:pt idx="2">
                  <c:v>93646325.037758842</c:v>
                </c:pt>
                <c:pt idx="3">
                  <c:v>97225165.485061735</c:v>
                </c:pt>
                <c:pt idx="4">
                  <c:v>100207532.5244808</c:v>
                </c:pt>
                <c:pt idx="5">
                  <c:v>102593426.15601607</c:v>
                </c:pt>
                <c:pt idx="6">
                  <c:v>104382846.37966751</c:v>
                </c:pt>
                <c:pt idx="7">
                  <c:v>105575793.19543514</c:v>
                </c:pt>
                <c:pt idx="8">
                  <c:v>106172266.60331896</c:v>
                </c:pt>
                <c:pt idx="9">
                  <c:v>106172266.60331896</c:v>
                </c:pt>
                <c:pt idx="10">
                  <c:v>105575793.19543514</c:v>
                </c:pt>
                <c:pt idx="11">
                  <c:v>104382846.37966751</c:v>
                </c:pt>
                <c:pt idx="12">
                  <c:v>102593426.15601607</c:v>
                </c:pt>
                <c:pt idx="13">
                  <c:v>100207532.5244808</c:v>
                </c:pt>
                <c:pt idx="14">
                  <c:v>97225165.485061735</c:v>
                </c:pt>
                <c:pt idx="15">
                  <c:v>93646325.037758842</c:v>
                </c:pt>
                <c:pt idx="16">
                  <c:v>89471011.182572141</c:v>
                </c:pt>
                <c:pt idx="17">
                  <c:v>84699223.919501618</c:v>
                </c:pt>
                <c:pt idx="18">
                  <c:v>79330963.248547286</c:v>
                </c:pt>
                <c:pt idx="19">
                  <c:v>73366229.169709146</c:v>
                </c:pt>
                <c:pt idx="20">
                  <c:v>66805021.682987176</c:v>
                </c:pt>
                <c:pt idx="21">
                  <c:v>59647340.788381405</c:v>
                </c:pt>
                <c:pt idx="22">
                  <c:v>51893186.485891834</c:v>
                </c:pt>
              </c:numCache>
            </c:numRef>
          </c:val>
          <c:extLst xmlns:c16r2="http://schemas.microsoft.com/office/drawing/2015/06/chart">
            <c:ext xmlns:c16="http://schemas.microsoft.com/office/drawing/2014/chart" uri="{C3380CC4-5D6E-409C-BE32-E72D297353CC}">
              <c16:uniqueId val="{00000000-75B9-4A04-A3E9-96C56FE7E284}"/>
            </c:ext>
          </c:extLst>
        </c:ser>
        <c:ser>
          <c:idx val="1"/>
          <c:order val="1"/>
          <c:tx>
            <c:v>Затраты</c:v>
          </c:tx>
          <c:spPr>
            <a:ln w="28575" cap="rnd">
              <a:solidFill>
                <a:schemeClr val="accent2"/>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Лист1!$E$91:$AA$91</c:f>
              <c:numCache>
                <c:formatCode>General</c:formatCode>
                <c:ptCount val="23"/>
                <c:pt idx="0">
                  <c:v>65239566.223418802</c:v>
                </c:pt>
                <c:pt idx="1">
                  <c:v>67002797.74297066</c:v>
                </c:pt>
                <c:pt idx="2">
                  <c:v>68854190.838500112</c:v>
                </c:pt>
                <c:pt idx="3">
                  <c:v>70793745.510007158</c:v>
                </c:pt>
                <c:pt idx="4">
                  <c:v>72821461.757491797</c:v>
                </c:pt>
                <c:pt idx="5">
                  <c:v>74937339.58095403</c:v>
                </c:pt>
                <c:pt idx="6">
                  <c:v>77141378.980393857</c:v>
                </c:pt>
                <c:pt idx="7">
                  <c:v>79433579.955811277</c:v>
                </c:pt>
                <c:pt idx="8">
                  <c:v>81813942.507206291</c:v>
                </c:pt>
                <c:pt idx="9">
                  <c:v>84282466.634578899</c:v>
                </c:pt>
                <c:pt idx="10">
                  <c:v>86839152.3379291</c:v>
                </c:pt>
                <c:pt idx="11">
                  <c:v>89483999.61725688</c:v>
                </c:pt>
                <c:pt idx="12">
                  <c:v>92217008.472562253</c:v>
                </c:pt>
                <c:pt idx="13">
                  <c:v>95038178.903845236</c:v>
                </c:pt>
                <c:pt idx="14">
                  <c:v>97947510.911105797</c:v>
                </c:pt>
                <c:pt idx="15">
                  <c:v>100945004.49434395</c:v>
                </c:pt>
                <c:pt idx="16">
                  <c:v>104030659.6535597</c:v>
                </c:pt>
                <c:pt idx="17">
                  <c:v>107204476.38875306</c:v>
                </c:pt>
                <c:pt idx="18">
                  <c:v>110466454.69992399</c:v>
                </c:pt>
                <c:pt idx="19">
                  <c:v>113816594.58707252</c:v>
                </c:pt>
                <c:pt idx="20">
                  <c:v>117254896.05019864</c:v>
                </c:pt>
                <c:pt idx="21">
                  <c:v>120781359.08930236</c:v>
                </c:pt>
                <c:pt idx="22">
                  <c:v>124395983.70438367</c:v>
                </c:pt>
              </c:numCache>
            </c:numRef>
          </c:val>
          <c:extLst xmlns:c16r2="http://schemas.microsoft.com/office/drawing/2015/06/chart">
            <c:ext xmlns:c16="http://schemas.microsoft.com/office/drawing/2014/chart" uri="{C3380CC4-5D6E-409C-BE32-E72D297353CC}">
              <c16:uniqueId val="{00000001-75B9-4A04-A3E9-96C56FE7E284}"/>
            </c:ext>
          </c:extLst>
        </c:ser>
        <c:ser>
          <c:idx val="2"/>
          <c:order val="2"/>
          <c:tx>
            <c:v>NPV</c:v>
          </c:tx>
          <c:spPr>
            <a:ln w="28575" cap="rnd">
              <a:solidFill>
                <a:schemeClr val="accent3"/>
              </a:solidFill>
              <a:round/>
            </a:ln>
            <a:effectLst/>
          </c:spPr>
          <c:marker>
            <c:symbol val="none"/>
          </c:marker>
          <c:cat>
            <c:numRef>
              <c:f>Лист1!$E$85:$AA$85</c:f>
              <c:numCache>
                <c:formatCode>0%</c:formatCode>
                <c:ptCount val="23"/>
                <c:pt idx="0">
                  <c:v>0.72999999999999976</c:v>
                </c:pt>
                <c:pt idx="1">
                  <c:v>0.75999999999999979</c:v>
                </c:pt>
                <c:pt idx="2">
                  <c:v>0.78999999999999981</c:v>
                </c:pt>
                <c:pt idx="3">
                  <c:v>0.81999999999999984</c:v>
                </c:pt>
                <c:pt idx="4">
                  <c:v>0.84999999999999987</c:v>
                </c:pt>
                <c:pt idx="5">
                  <c:v>0.87999999999999989</c:v>
                </c:pt>
                <c:pt idx="6">
                  <c:v>0.90999999999999992</c:v>
                </c:pt>
                <c:pt idx="7">
                  <c:v>0.94</c:v>
                </c:pt>
                <c:pt idx="8">
                  <c:v>0.97</c:v>
                </c:pt>
                <c:pt idx="9">
                  <c:v>1</c:v>
                </c:pt>
                <c:pt idx="10">
                  <c:v>1.03</c:v>
                </c:pt>
                <c:pt idx="11">
                  <c:v>1.06</c:v>
                </c:pt>
                <c:pt idx="12">
                  <c:v>1.0900000000000001</c:v>
                </c:pt>
                <c:pt idx="13">
                  <c:v>1.1200000000000001</c:v>
                </c:pt>
                <c:pt idx="14">
                  <c:v>1.1500000000000001</c:v>
                </c:pt>
                <c:pt idx="15">
                  <c:v>1.1800000000000002</c:v>
                </c:pt>
                <c:pt idx="16">
                  <c:v>1.2100000000000002</c:v>
                </c:pt>
                <c:pt idx="17">
                  <c:v>1.2400000000000002</c:v>
                </c:pt>
                <c:pt idx="18">
                  <c:v>1.2700000000000002</c:v>
                </c:pt>
                <c:pt idx="19">
                  <c:v>1.3000000000000003</c:v>
                </c:pt>
                <c:pt idx="20">
                  <c:v>1.3300000000000003</c:v>
                </c:pt>
                <c:pt idx="21">
                  <c:v>1.3600000000000003</c:v>
                </c:pt>
                <c:pt idx="22">
                  <c:v>1.3900000000000003</c:v>
                </c:pt>
              </c:numCache>
            </c:numRef>
          </c:cat>
          <c:val>
            <c:numRef>
              <c:f>Лист1!$E$94:$AA$94</c:f>
              <c:numCache>
                <c:formatCode>General</c:formatCode>
                <c:ptCount val="23"/>
                <c:pt idx="0">
                  <c:v>16019323.52559129</c:v>
                </c:pt>
                <c:pt idx="1">
                  <c:v>16452278.215472138</c:v>
                </c:pt>
                <c:pt idx="2">
                  <c:v>17209948.922763616</c:v>
                </c:pt>
                <c:pt idx="3">
                  <c:v>18292335.647465732</c:v>
                </c:pt>
                <c:pt idx="4">
                  <c:v>19699438.389578484</c:v>
                </c:pt>
                <c:pt idx="5">
                  <c:v>21431257.149101865</c:v>
                </c:pt>
                <c:pt idx="6">
                  <c:v>22838359.891214613</c:v>
                </c:pt>
                <c:pt idx="7">
                  <c:v>23920746.615916729</c:v>
                </c:pt>
                <c:pt idx="8">
                  <c:v>24678417.323208209</c:v>
                </c:pt>
                <c:pt idx="9">
                  <c:v>25111372.013089053</c:v>
                </c:pt>
                <c:pt idx="10">
                  <c:v>25219610.685559262</c:v>
                </c:pt>
                <c:pt idx="11">
                  <c:v>25003133.340618841</c:v>
                </c:pt>
                <c:pt idx="12">
                  <c:v>24461939.978267785</c:v>
                </c:pt>
                <c:pt idx="13">
                  <c:v>23596030.598506093</c:v>
                </c:pt>
                <c:pt idx="14">
                  <c:v>22405405.201333769</c:v>
                </c:pt>
                <c:pt idx="15">
                  <c:v>20890063.786750808</c:v>
                </c:pt>
                <c:pt idx="16">
                  <c:v>19050006.354757212</c:v>
                </c:pt>
                <c:pt idx="17">
                  <c:v>16885232.905352984</c:v>
                </c:pt>
                <c:pt idx="18">
                  <c:v>14395743.438538123</c:v>
                </c:pt>
                <c:pt idx="19">
                  <c:v>11581537.954312626</c:v>
                </c:pt>
                <c:pt idx="20">
                  <c:v>8442616.4526764937</c:v>
                </c:pt>
                <c:pt idx="21">
                  <c:v>4978978.9336297279</c:v>
                </c:pt>
                <c:pt idx="22">
                  <c:v>1190625.3971723286</c:v>
                </c:pt>
              </c:numCache>
            </c:numRef>
          </c:val>
          <c:extLst xmlns:c16r2="http://schemas.microsoft.com/office/drawing/2015/06/chart">
            <c:ext xmlns:c16="http://schemas.microsoft.com/office/drawing/2014/chart" uri="{C3380CC4-5D6E-409C-BE32-E72D297353CC}">
              <c16:uniqueId val="{00000002-75B9-4A04-A3E9-96C56FE7E284}"/>
            </c:ext>
          </c:extLst>
        </c:ser>
        <c:marker val="1"/>
        <c:axId val="100385152"/>
        <c:axId val="100387072"/>
      </c:lineChart>
      <c:catAx>
        <c:axId val="100385152"/>
        <c:scaling>
          <c:orientation val="minMax"/>
        </c:scaling>
        <c:axPos val="b"/>
        <c:title>
          <c:tx>
            <c:rich>
              <a:bodyPr/>
              <a:lstStyle/>
              <a:p>
                <a:pPr>
                  <a:defRPr/>
                </a:pPr>
                <a:r>
                  <a:rPr lang="ru-RU"/>
                  <a:t>Процентное изменение себестоисмости продукции</a:t>
                </a:r>
              </a:p>
            </c:rich>
          </c:tx>
        </c:title>
        <c:numFmt formatCode="0%"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0387072"/>
        <c:crosses val="autoZero"/>
        <c:auto val="1"/>
        <c:lblAlgn val="ctr"/>
        <c:lblOffset val="100"/>
      </c:catAx>
      <c:valAx>
        <c:axId val="100387072"/>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00385152"/>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057;&#1090;&#1088;&#1091;&#1082;&#1090;&#1091;&#1088;&#1072;!A1"/><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5.png"/><Relationship Id="rId1" Type="http://schemas.openxmlformats.org/officeDocument/2006/relationships/hyperlink" Target="#&#1057;&#1090;&#1088;&#1091;&#1082;&#1090;&#1091;&#1088;&#1072;!A1"/></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1057;&#1090;&#1088;&#1091;&#1082;&#1090;&#1091;&#1088;&#1072;!A1"/><Relationship Id="rId1" Type="http://schemas.openxmlformats.org/officeDocument/2006/relationships/hyperlink" Target="#'&#1042;&#1093;&#1086;&#1076;&#1103;&#1097;&#1080;&#1077; &#1076;&#1072;&#1085;&#1085;&#1099;&#1077;'!A1"/><Relationship Id="rId5" Type="http://schemas.openxmlformats.org/officeDocument/2006/relationships/image" Target="../media/image19.png"/><Relationship Id="rId4"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1043;&#1080;&#1073;&#1082;&#1086;&#1089;&#1090;&#1100;!A1"/><Relationship Id="rId18" Type="http://schemas.openxmlformats.org/officeDocument/2006/relationships/image" Target="../media/image12.png"/><Relationship Id="rId3" Type="http://schemas.openxmlformats.org/officeDocument/2006/relationships/hyperlink" Target="#'&#1069;&#1090;&#1072;&#1087;&#1099; &#1079;&#1072;&#1087;&#1091;&#1089;&#1082;&#1072; &#1055;&#1088;&#1086;&#1077;&#1082;&#1090;&#1072;'!A1"/><Relationship Id="rId7" Type="http://schemas.openxmlformats.org/officeDocument/2006/relationships/hyperlink" Target="#'&#1045;&#1078;&#1077;&#1084;&#1077;&#1089;&#1103;&#1095;&#1085;&#1099;&#1077; &#1079;&#1072;&#1090;&#1088;&#1072;&#1090;&#1099;'!A1"/><Relationship Id="rId12" Type="http://schemas.openxmlformats.org/officeDocument/2006/relationships/image" Target="../media/image9.png"/><Relationship Id="rId17" Type="http://schemas.openxmlformats.org/officeDocument/2006/relationships/hyperlink" Target="#'&#1044;&#1086;&#1087;&#1091;&#1097;&#1077;&#1085;&#1080;&#1103; &#1080; &#1086;&#1075;&#1088;&#1072;&#1085;&#1080;&#1095;&#1077;&#1085;&#1080;&#1103;'!A1"/><Relationship Id="rId2" Type="http://schemas.openxmlformats.org/officeDocument/2006/relationships/image" Target="../media/image4.png"/><Relationship Id="rId16" Type="http://schemas.openxmlformats.org/officeDocument/2006/relationships/image" Target="../media/image11.png"/><Relationship Id="rId1" Type="http://schemas.openxmlformats.org/officeDocument/2006/relationships/hyperlink" Target="#'&#1042;&#1093;&#1086;&#1076;&#1103;&#1097;&#1080;&#1077; &#1076;&#1072;&#1085;&#1085;&#1099;&#1077;'!A1"/><Relationship Id="rId6" Type="http://schemas.openxmlformats.org/officeDocument/2006/relationships/image" Target="../media/image6.png"/><Relationship Id="rId11" Type="http://schemas.openxmlformats.org/officeDocument/2006/relationships/hyperlink" Target="#&#1055;&#1088;&#1080;&#1073;&#1099;&#1083;&#1100;_&#1086;&#1082;&#1091;&#1087;&#1072;&#1077;&#1084;&#1086;&#1089;&#1090;&#1100;!A1"/><Relationship Id="rId5" Type="http://schemas.openxmlformats.org/officeDocument/2006/relationships/hyperlink" Target="#'&#1048;&#1085;&#1074;&#1077;&#1089;&#1090;&#1080;&#1094;&#1080;&#1080; &#1085;&#1072; &#1086;&#1088;&#1075;-&#1094;&#1080;&#1102; &#1073;&#1080;&#1079;&#1085;&#1077;&#1089;&#1072;'!A1"/><Relationship Id="rId15" Type="http://schemas.openxmlformats.org/officeDocument/2006/relationships/hyperlink" Target="#&#1043;&#1083;&#1086;&#1089;&#1089;&#1072;&#1088;&#1080;&#1081;!A1"/><Relationship Id="rId10" Type="http://schemas.openxmlformats.org/officeDocument/2006/relationships/image" Target="../media/image8.png"/><Relationship Id="rId19" Type="http://schemas.openxmlformats.org/officeDocument/2006/relationships/image" Target="../media/image13.png"/><Relationship Id="rId4" Type="http://schemas.openxmlformats.org/officeDocument/2006/relationships/image" Target="../media/image5.png"/><Relationship Id="rId9" Type="http://schemas.openxmlformats.org/officeDocument/2006/relationships/hyperlink" Target="#&#1055;&#1088;&#1086;&#1076;&#1072;&#1078;&#1080;!A1"/><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14.png"/><Relationship Id="rId1" Type="http://schemas.openxmlformats.org/officeDocument/2006/relationships/hyperlink" Target="#'&#1044;&#1086;&#1087;&#1091;&#1097;&#1077;&#1085;&#1080;&#1103; &#1080; &#1086;&#1075;&#1088;&#1072;&#1085;&#1080;&#1095;&#1077;&#1085;&#1080;&#1103;'!A1"/><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hyperlink" Target="#&#1057;&#1090;&#1088;&#1091;&#1082;&#1090;&#1091;&#1088;&#1072;!A1"/><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hyperlink" Target="#&#1057;&#1090;&#1088;&#1091;&#1082;&#1090;&#1091;&#1088;&#1072;!A1"/><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hyperlink" Target="#&#1057;&#1090;&#1088;&#1091;&#1082;&#1090;&#1091;&#1088;&#1072;!A1"/><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hyperlink" Target="#&#1057;&#1090;&#1088;&#1091;&#1082;&#1090;&#1091;&#1088;&#1072;!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9.png"/><Relationship Id="rId5" Type="http://schemas.openxmlformats.org/officeDocument/2006/relationships/image" Target="../media/image25.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19.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26.png"/><Relationship Id="rId5" Type="http://schemas.openxmlformats.org/officeDocument/2006/relationships/image" Target="../media/image15.png"/><Relationship Id="rId4" Type="http://schemas.openxmlformats.org/officeDocument/2006/relationships/hyperlink" Target="#&#1057;&#1090;&#1088;&#1091;&#1082;&#1090;&#1091;&#1088;&#1072;!A1"/></Relationships>
</file>

<file path=xl/drawings/drawing1.xml><?xml version="1.0" encoding="utf-8"?>
<xdr:wsDr xmlns:xdr="http://schemas.openxmlformats.org/drawingml/2006/spreadsheetDrawing" xmlns:a="http://schemas.openxmlformats.org/drawingml/2006/main">
  <xdr:twoCellAnchor>
    <xdr:from>
      <xdr:col>5</xdr:col>
      <xdr:colOff>457200</xdr:colOff>
      <xdr:row>1</xdr:row>
      <xdr:rowOff>177800</xdr:rowOff>
    </xdr:from>
    <xdr:to>
      <xdr:col>22</xdr:col>
      <xdr:colOff>152400</xdr:colOff>
      <xdr:row>14</xdr:row>
      <xdr:rowOff>427261</xdr:rowOff>
    </xdr:to>
    <xdr:grpSp>
      <xdr:nvGrpSpPr>
        <xdr:cNvPr id="10" name="Группа 9"/>
        <xdr:cNvGrpSpPr/>
      </xdr:nvGrpSpPr>
      <xdr:grpSpPr>
        <a:xfrm>
          <a:off x="3505200" y="431800"/>
          <a:ext cx="10058400" cy="5862861"/>
          <a:chOff x="3505200" y="431800"/>
          <a:chExt cx="10058400" cy="5862861"/>
        </a:xfrm>
      </xdr:grpSpPr>
      <xdr:pic>
        <xdr:nvPicPr>
          <xdr:cNvPr id="7" name="Рисунок 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4946962" y="5714650"/>
            <a:ext cx="7213793" cy="580011"/>
          </a:xfrm>
          <a:prstGeom prst="rect">
            <a:avLst/>
          </a:prstGeom>
        </xdr:spPr>
      </xdr:pic>
      <xdr:pic>
        <xdr:nvPicPr>
          <xdr:cNvPr id="2" name="Рисунок 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3505200" y="431800"/>
            <a:ext cx="10058400" cy="1131699"/>
          </a:xfrm>
          <a:prstGeom prst="rect">
            <a:avLst/>
          </a:prstGeom>
        </xdr:spPr>
      </xdr:pic>
      <xdr:pic>
        <xdr:nvPicPr>
          <xdr:cNvPr id="8" name="Рисунок 7"/>
          <xdr:cNvPicPr>
            <a:picLocks noChangeAspect="1"/>
          </xdr:cNvPicPr>
        </xdr:nvPicPr>
        <xdr:blipFill rotWithShape="1">
          <a:blip xmlns:r="http://schemas.openxmlformats.org/officeDocument/2006/relationships" r:embed="rId4" cstate="print">
            <a:extLst>
              <a:ext uri="{28A0092B-C50C-407E-A947-70E740481C1C}">
                <a14:useLocalDpi xmlns="" xmlns:a14="http://schemas.microsoft.com/office/drawing/2010/main" val="0"/>
              </a:ext>
            </a:extLst>
          </a:blip>
          <a:srcRect t="23502" b="23340"/>
          <a:stretch/>
        </xdr:blipFill>
        <xdr:spPr>
          <a:xfrm>
            <a:off x="5090300" y="2425700"/>
            <a:ext cx="6891542" cy="25908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25400</xdr:colOff>
      <xdr:row>1</xdr:row>
      <xdr:rowOff>114300</xdr:rowOff>
    </xdr:from>
    <xdr:to>
      <xdr:col>4</xdr:col>
      <xdr:colOff>111265</xdr:colOff>
      <xdr:row>7</xdr:row>
      <xdr:rowOff>70760</xdr:rowOff>
    </xdr:to>
    <xdr:grpSp>
      <xdr:nvGrpSpPr>
        <xdr:cNvPr id="4" name="Группа 3"/>
        <xdr:cNvGrpSpPr/>
      </xdr:nvGrpSpPr>
      <xdr:grpSpPr>
        <a:xfrm>
          <a:off x="1447800" y="317500"/>
          <a:ext cx="8201165" cy="1455060"/>
          <a:chOff x="1447800" y="317500"/>
          <a:chExt cx="8201165" cy="1455060"/>
        </a:xfrm>
      </xdr:grpSpPr>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47800" y="1198660"/>
            <a:ext cx="2938118" cy="573900"/>
          </a:xfrm>
          <a:prstGeom prst="rect">
            <a:avLst/>
          </a:prstGeom>
        </xdr:spPr>
      </xdr:pic>
      <xdr:pic>
        <xdr:nvPicPr>
          <xdr:cNvPr id="2" name="Рисунок 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5410200" y="317500"/>
            <a:ext cx="4238765" cy="923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998310</xdr:colOff>
      <xdr:row>16</xdr:row>
      <xdr:rowOff>87086</xdr:rowOff>
    </xdr:from>
    <xdr:to>
      <xdr:col>8</xdr:col>
      <xdr:colOff>1001032</xdr:colOff>
      <xdr:row>16</xdr:row>
      <xdr:rowOff>386443</xdr:rowOff>
    </xdr:to>
    <xdr:sp macro="" textlink="">
      <xdr:nvSpPr>
        <xdr:cNvPr id="8" name="Скругленный прямоугольник 7">
          <a:hlinkClick xmlns:r="http://schemas.openxmlformats.org/officeDocument/2006/relationships" r:id="rId1"/>
        </xdr:cNvPr>
        <xdr:cNvSpPr/>
      </xdr:nvSpPr>
      <xdr:spPr>
        <a:xfrm>
          <a:off x="8846910" y="5509986"/>
          <a:ext cx="1209222" cy="299357"/>
        </a:xfrm>
        <a:prstGeom prst="roundRect">
          <a:avLst/>
        </a:prstGeom>
        <a:solidFill>
          <a:schemeClr val="tx1">
            <a:lumMod val="75000"/>
            <a:lumOff val="25000"/>
          </a:schemeClr>
        </a:soli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a:solidFill>
                <a:schemeClr val="bg1"/>
              </a:solidFill>
              <a:latin typeface="Times New Roman" panose="02020603050405020304" pitchFamily="18" charset="0"/>
              <a:cs typeface="Times New Roman" panose="02020603050405020304" pitchFamily="18" charset="0"/>
            </a:rPr>
            <a:t>ВЕРНУТЬСЯ</a:t>
          </a:r>
          <a:endParaRPr lang="ru-RU" sz="1200" baseline="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127000</xdr:colOff>
      <xdr:row>1</xdr:row>
      <xdr:rowOff>114300</xdr:rowOff>
    </xdr:from>
    <xdr:to>
      <xdr:col>8</xdr:col>
      <xdr:colOff>1308100</xdr:colOff>
      <xdr:row>9</xdr:row>
      <xdr:rowOff>58060</xdr:rowOff>
    </xdr:to>
    <xdr:grpSp>
      <xdr:nvGrpSpPr>
        <xdr:cNvPr id="3" name="Группа 2"/>
        <xdr:cNvGrpSpPr/>
      </xdr:nvGrpSpPr>
      <xdr:grpSpPr>
        <a:xfrm>
          <a:off x="1549400" y="317500"/>
          <a:ext cx="10248900" cy="2509160"/>
          <a:chOff x="1549400" y="317500"/>
          <a:chExt cx="10248900" cy="2509160"/>
        </a:xfrm>
      </xdr:grpSpPr>
      <xdr:pic>
        <xdr:nvPicPr>
          <xdr:cNvPr id="12" name="Рисунок 11">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1549400" y="2199939"/>
            <a:ext cx="2938118" cy="626721"/>
          </a:xfrm>
          <a:prstGeom prst="rect">
            <a:avLst/>
          </a:prstGeom>
        </xdr:spPr>
      </xdr:pic>
      <xdr:pic>
        <xdr:nvPicPr>
          <xdr:cNvPr id="2" name="Рисунок 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739900" y="317500"/>
            <a:ext cx="10058400" cy="881050"/>
          </a:xfrm>
          <a:prstGeom prst="rect">
            <a:avLst/>
          </a:prstGeom>
        </xdr:spPr>
      </xdr:pic>
      <xdr:pic>
        <xdr:nvPicPr>
          <xdr:cNvPr id="14" name="Рисунок 13"/>
          <xdr:cNvPicPr>
            <a:picLocks noChangeAspect="1"/>
          </xdr:cNvPicPr>
        </xdr:nvPicPr>
        <xdr:blipFill rotWithShape="1">
          <a:blip xmlns:r="http://schemas.openxmlformats.org/officeDocument/2006/relationships" r:embed="rId5" cstate="print">
            <a:extLst>
              <a:ext uri="{28A0092B-C50C-407E-A947-70E740481C1C}">
                <a14:useLocalDpi xmlns="" xmlns:a14="http://schemas.microsoft.com/office/drawing/2010/main" val="0"/>
              </a:ext>
            </a:extLst>
          </a:blip>
          <a:srcRect t="23502" b="23340"/>
          <a:stretch/>
        </xdr:blipFill>
        <xdr:spPr>
          <a:xfrm>
            <a:off x="5029200" y="1104900"/>
            <a:ext cx="3351607" cy="126000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190499</xdr:colOff>
      <xdr:row>24</xdr:row>
      <xdr:rowOff>138112</xdr:rowOff>
    </xdr:from>
    <xdr:to>
      <xdr:col>14</xdr:col>
      <xdr:colOff>628649</xdr:colOff>
      <xdr:row>38</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22</xdr:row>
      <xdr:rowOff>42862</xdr:rowOff>
    </xdr:from>
    <xdr:to>
      <xdr:col>7</xdr:col>
      <xdr:colOff>295275</xdr:colOff>
      <xdr:row>36</xdr:row>
      <xdr:rowOff>119062</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449036</xdr:colOff>
      <xdr:row>64</xdr:row>
      <xdr:rowOff>9524</xdr:rowOff>
    </xdr:from>
    <xdr:to>
      <xdr:col>9</xdr:col>
      <xdr:colOff>408215</xdr:colOff>
      <xdr:row>78</xdr:row>
      <xdr:rowOff>85724</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526676</xdr:colOff>
      <xdr:row>99</xdr:row>
      <xdr:rowOff>89647</xdr:rowOff>
    </xdr:from>
    <xdr:to>
      <xdr:col>13</xdr:col>
      <xdr:colOff>145678</xdr:colOff>
      <xdr:row>114</xdr:row>
      <xdr:rowOff>190499</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1145961</xdr:colOff>
      <xdr:row>109</xdr:row>
      <xdr:rowOff>112138</xdr:rowOff>
    </xdr:from>
    <xdr:to>
      <xdr:col>26</xdr:col>
      <xdr:colOff>332974</xdr:colOff>
      <xdr:row>131</xdr:row>
      <xdr:rowOff>56109</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145900</xdr:colOff>
      <xdr:row>3</xdr:row>
      <xdr:rowOff>139700</xdr:rowOff>
    </xdr:from>
    <xdr:to>
      <xdr:col>29</xdr:col>
      <xdr:colOff>69889</xdr:colOff>
      <xdr:row>26</xdr:row>
      <xdr:rowOff>34737</xdr:rowOff>
    </xdr:to>
    <xdr:grpSp>
      <xdr:nvGrpSpPr>
        <xdr:cNvPr id="22" name="Группа 21"/>
        <xdr:cNvGrpSpPr/>
      </xdr:nvGrpSpPr>
      <xdr:grpSpPr>
        <a:xfrm>
          <a:off x="780900" y="711200"/>
          <a:ext cx="17703989" cy="4276537"/>
          <a:chOff x="1212700" y="596900"/>
          <a:chExt cx="17703989" cy="4276537"/>
        </a:xfrm>
      </xdr:grpSpPr>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848600" y="596900"/>
            <a:ext cx="3368047" cy="990602"/>
          </a:xfrm>
          <a:prstGeom prst="rect">
            <a:avLst/>
          </a:prstGeom>
        </xdr:spPr>
      </xdr:pic>
      <xdr:pic>
        <xdr:nvPicPr>
          <xdr:cNvPr id="4" name="Рисунок 3">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2075300" y="1534300"/>
            <a:ext cx="5513843" cy="478537"/>
          </a:xfrm>
          <a:prstGeom prst="rect">
            <a:avLst/>
          </a:prstGeom>
        </xdr:spPr>
      </xdr:pic>
      <xdr:pic>
        <xdr:nvPicPr>
          <xdr:cNvPr id="5" name="Рисунок 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2707900" y="2382800"/>
            <a:ext cx="6208789" cy="694945"/>
          </a:xfrm>
          <a:prstGeom prst="rect">
            <a:avLst/>
          </a:prstGeom>
        </xdr:spPr>
      </xdr:pic>
      <xdr:pic>
        <xdr:nvPicPr>
          <xdr:cNvPr id="6" name="Рисунок 5">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a:off x="12718200" y="3447200"/>
            <a:ext cx="4873762" cy="475489"/>
          </a:xfrm>
          <a:prstGeom prst="rect">
            <a:avLst/>
          </a:prstGeom>
        </xdr:spPr>
      </xdr:pic>
      <xdr:pic>
        <xdr:nvPicPr>
          <xdr:cNvPr id="7" name="Рисунок 6">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tretch>
            <a:fillRect/>
          </a:stretch>
        </xdr:blipFill>
        <xdr:spPr>
          <a:xfrm>
            <a:off x="12080800" y="4397300"/>
            <a:ext cx="2417069" cy="475489"/>
          </a:xfrm>
          <a:prstGeom prst="rect">
            <a:avLst/>
          </a:prstGeom>
        </xdr:spPr>
      </xdr:pic>
      <xdr:pic>
        <xdr:nvPicPr>
          <xdr:cNvPr id="8" name="Рисунок 7">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tretch>
            <a:fillRect/>
          </a:stretch>
        </xdr:blipFill>
        <xdr:spPr>
          <a:xfrm>
            <a:off x="1702500" y="4394900"/>
            <a:ext cx="5288291" cy="478537"/>
          </a:xfrm>
          <a:prstGeom prst="rect">
            <a:avLst/>
          </a:prstGeom>
        </xdr:spPr>
      </xdr:pic>
      <xdr:pic>
        <xdr:nvPicPr>
          <xdr:cNvPr id="9" name="Рисунок 8">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tretch>
            <a:fillRect/>
          </a:stretch>
        </xdr:blipFill>
        <xdr:spPr>
          <a:xfrm>
            <a:off x="2360500" y="3452700"/>
            <a:ext cx="3971552" cy="487681"/>
          </a:xfrm>
          <a:prstGeom prst="rect">
            <a:avLst/>
          </a:prstGeom>
        </xdr:spPr>
      </xdr:pic>
      <xdr:pic>
        <xdr:nvPicPr>
          <xdr:cNvPr id="10" name="Рисунок 9">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tretch>
            <a:fillRect/>
          </a:stretch>
        </xdr:blipFill>
        <xdr:spPr>
          <a:xfrm>
            <a:off x="3704300" y="2485100"/>
            <a:ext cx="2642621" cy="478537"/>
          </a:xfrm>
          <a:prstGeom prst="rect">
            <a:avLst/>
          </a:prstGeom>
        </xdr:spPr>
      </xdr:pic>
      <xdr:pic>
        <xdr:nvPicPr>
          <xdr:cNvPr id="11" name="Рисунок 10">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tretch>
            <a:fillRect/>
          </a:stretch>
        </xdr:blipFill>
        <xdr:spPr>
          <a:xfrm>
            <a:off x="1212700" y="1352400"/>
            <a:ext cx="5775972" cy="783338"/>
          </a:xfrm>
          <a:prstGeom prst="rect">
            <a:avLst/>
          </a:prstGeom>
        </xdr:spPr>
      </xdr:pic>
      <xdr:pic>
        <xdr:nvPicPr>
          <xdr:cNvPr id="13" name="Рисунок 12"/>
          <xdr:cNvPicPr>
            <a:picLocks noChangeAspect="1"/>
          </xdr:cNvPicPr>
        </xdr:nvPicPr>
        <xdr:blipFill rotWithShape="1">
          <a:blip xmlns:r="http://schemas.openxmlformats.org/officeDocument/2006/relationships" r:embed="rId19" cstate="print">
            <a:extLst>
              <a:ext uri="{28A0092B-C50C-407E-A947-70E740481C1C}">
                <a14:useLocalDpi xmlns="" xmlns:a14="http://schemas.microsoft.com/office/drawing/2010/main" val="0"/>
              </a:ext>
            </a:extLst>
          </a:blip>
          <a:srcRect t="27370" b="26662"/>
          <a:stretch/>
        </xdr:blipFill>
        <xdr:spPr>
          <a:xfrm>
            <a:off x="6781800" y="2348604"/>
            <a:ext cx="5511042" cy="179159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367393</xdr:colOff>
      <xdr:row>20</xdr:row>
      <xdr:rowOff>54428</xdr:rowOff>
    </xdr:from>
    <xdr:to>
      <xdr:col>6</xdr:col>
      <xdr:colOff>911679</xdr:colOff>
      <xdr:row>20</xdr:row>
      <xdr:rowOff>367393</xdr:rowOff>
    </xdr:to>
    <xdr:sp macro="" textlink="">
      <xdr:nvSpPr>
        <xdr:cNvPr id="2" name="Скругленный прямоугольник 1">
          <a:hlinkClick xmlns:r="http://schemas.openxmlformats.org/officeDocument/2006/relationships" r:id="rId1"/>
        </xdr:cNvPr>
        <xdr:cNvSpPr/>
      </xdr:nvSpPr>
      <xdr:spPr>
        <a:xfrm>
          <a:off x="7511143" y="4041321"/>
          <a:ext cx="1510393" cy="312965"/>
        </a:xfrm>
        <a:prstGeom prst="roundRect">
          <a:avLst/>
        </a:prstGeom>
        <a:solidFill>
          <a:schemeClr val="tx1">
            <a:lumMod val="75000"/>
            <a:lumOff val="25000"/>
          </a:schemeClr>
        </a:solid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a:solidFill>
                <a:schemeClr val="bg1"/>
              </a:solidFill>
              <a:latin typeface="Times New Roman" panose="02020603050405020304" pitchFamily="18" charset="0"/>
              <a:cs typeface="Times New Roman" panose="02020603050405020304" pitchFamily="18" charset="0"/>
            </a:rPr>
            <a:t>ПОДРОБНЕЕ</a:t>
          </a:r>
        </a:p>
      </xdr:txBody>
    </xdr:sp>
    <xdr:clientData/>
  </xdr:twoCellAnchor>
  <xdr:twoCellAnchor>
    <xdr:from>
      <xdr:col>1</xdr:col>
      <xdr:colOff>304800</xdr:colOff>
      <xdr:row>1</xdr:row>
      <xdr:rowOff>101600</xdr:rowOff>
    </xdr:from>
    <xdr:to>
      <xdr:col>7</xdr:col>
      <xdr:colOff>571500</xdr:colOff>
      <xdr:row>8</xdr:row>
      <xdr:rowOff>127000</xdr:rowOff>
    </xdr:to>
    <xdr:grpSp>
      <xdr:nvGrpSpPr>
        <xdr:cNvPr id="11" name="Группа 10"/>
        <xdr:cNvGrpSpPr/>
      </xdr:nvGrpSpPr>
      <xdr:grpSpPr>
        <a:xfrm>
          <a:off x="1016000" y="304800"/>
          <a:ext cx="10058400" cy="2514600"/>
          <a:chOff x="1016000" y="304800"/>
          <a:chExt cx="10058400" cy="2514600"/>
        </a:xfrm>
      </xdr:grpSpPr>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016000" y="304800"/>
            <a:ext cx="10058400" cy="740558"/>
          </a:xfrm>
          <a:prstGeom prst="rect">
            <a:avLst/>
          </a:prstGeom>
        </xdr:spPr>
      </xdr:pic>
      <xdr:pic>
        <xdr:nvPicPr>
          <xdr:cNvPr id="6" name="Рисунок 5">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407301" y="2245500"/>
            <a:ext cx="2938118" cy="573900"/>
          </a:xfrm>
          <a:prstGeom prst="rect">
            <a:avLst/>
          </a:prstGeom>
        </xdr:spPr>
      </xdr:pic>
      <xdr:pic>
        <xdr:nvPicPr>
          <xdr:cNvPr id="10" name="Рисунок 9"/>
          <xdr:cNvPicPr>
            <a:picLocks noChangeAspect="1"/>
          </xdr:cNvPicPr>
        </xdr:nvPicPr>
        <xdr:blipFill rotWithShape="1">
          <a:blip xmlns:r="http://schemas.openxmlformats.org/officeDocument/2006/relationships" r:embed="rId5" cstate="print">
            <a:extLst>
              <a:ext uri="{28A0092B-C50C-407E-A947-70E740481C1C}">
                <a14:useLocalDpi xmlns="" xmlns:a14="http://schemas.microsoft.com/office/drawing/2010/main" val="0"/>
              </a:ext>
            </a:extLst>
          </a:blip>
          <a:srcRect t="23502" b="23340"/>
          <a:stretch/>
        </xdr:blipFill>
        <xdr:spPr>
          <a:xfrm>
            <a:off x="4330702" y="1034140"/>
            <a:ext cx="3351607" cy="12346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924700</xdr:colOff>
      <xdr:row>9</xdr:row>
      <xdr:rowOff>48400</xdr:rowOff>
    </xdr:from>
    <xdr:to>
      <xdr:col>10</xdr:col>
      <xdr:colOff>810400</xdr:colOff>
      <xdr:row>17</xdr:row>
      <xdr:rowOff>370947</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635900" y="4239400"/>
          <a:ext cx="10058400" cy="4056347"/>
        </a:xfrm>
        <a:prstGeom prst="rect">
          <a:avLst/>
        </a:prstGeom>
      </xdr:spPr>
    </xdr:pic>
    <xdr:clientData/>
  </xdr:twoCellAnchor>
  <xdr:twoCellAnchor editAs="oneCell">
    <xdr:from>
      <xdr:col>7</xdr:col>
      <xdr:colOff>749300</xdr:colOff>
      <xdr:row>16</xdr:row>
      <xdr:rowOff>419100</xdr:rowOff>
    </xdr:from>
    <xdr:to>
      <xdr:col>9</xdr:col>
      <xdr:colOff>1119129</xdr:colOff>
      <xdr:row>17</xdr:row>
      <xdr:rowOff>422657</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242300" y="7823200"/>
          <a:ext cx="2630429" cy="524257"/>
        </a:xfrm>
        <a:prstGeom prst="rect">
          <a:avLst/>
        </a:prstGeom>
      </xdr:spPr>
    </xdr:pic>
    <xdr:clientData/>
  </xdr:twoCellAnchor>
  <xdr:twoCellAnchor>
    <xdr:from>
      <xdr:col>1</xdr:col>
      <xdr:colOff>723900</xdr:colOff>
      <xdr:row>1</xdr:row>
      <xdr:rowOff>114300</xdr:rowOff>
    </xdr:from>
    <xdr:to>
      <xdr:col>10</xdr:col>
      <xdr:colOff>609600</xdr:colOff>
      <xdr:row>5</xdr:row>
      <xdr:rowOff>477160</xdr:rowOff>
    </xdr:to>
    <xdr:grpSp>
      <xdr:nvGrpSpPr>
        <xdr:cNvPr id="16" name="Группа 15"/>
        <xdr:cNvGrpSpPr/>
      </xdr:nvGrpSpPr>
      <xdr:grpSpPr>
        <a:xfrm>
          <a:off x="1435100" y="292100"/>
          <a:ext cx="10058400" cy="2471060"/>
          <a:chOff x="1435100" y="292100"/>
          <a:chExt cx="10058400" cy="2471060"/>
        </a:xfrm>
      </xdr:grpSpPr>
      <xdr:pic>
        <xdr:nvPicPr>
          <xdr:cNvPr id="9" name="Рисунок 8">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816100" y="2189260"/>
            <a:ext cx="2938118" cy="573900"/>
          </a:xfrm>
          <a:prstGeom prst="rect">
            <a:avLst/>
          </a:prstGeom>
        </xdr:spPr>
      </xdr:pic>
      <xdr:pic>
        <xdr:nvPicPr>
          <xdr:cNvPr id="15" name="Рисунок 14"/>
          <xdr:cNvPicPr>
            <a:picLocks noChangeAspect="1"/>
          </xdr:cNvPicPr>
        </xdr:nvPicPr>
        <xdr:blipFill rotWithShape="1">
          <a:blip xmlns:r="http://schemas.openxmlformats.org/officeDocument/2006/relationships" r:embed="rId5" cstate="print">
            <a:extLst>
              <a:ext uri="{28A0092B-C50C-407E-A947-70E740481C1C}">
                <a14:useLocalDpi xmlns="" xmlns:a14="http://schemas.microsoft.com/office/drawing/2010/main" val="0"/>
              </a:ext>
            </a:extLst>
          </a:blip>
          <a:srcRect t="23502" b="23340"/>
          <a:stretch/>
        </xdr:blipFill>
        <xdr:spPr>
          <a:xfrm>
            <a:off x="4673600" y="977900"/>
            <a:ext cx="3351607" cy="1260000"/>
          </a:xfrm>
          <a:prstGeom prst="rect">
            <a:avLst/>
          </a:prstGeom>
        </xdr:spPr>
      </xdr:pic>
      <xdr:pic>
        <xdr:nvPicPr>
          <xdr:cNvPr id="6" name="Рисунок 5"/>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435100" y="292100"/>
            <a:ext cx="10058400" cy="74550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6671</xdr:colOff>
      <xdr:row>2</xdr:row>
      <xdr:rowOff>25400</xdr:rowOff>
    </xdr:from>
    <xdr:to>
      <xdr:col>6</xdr:col>
      <xdr:colOff>1212846</xdr:colOff>
      <xdr:row>8</xdr:row>
      <xdr:rowOff>121560</xdr:rowOff>
    </xdr:to>
    <xdr:grpSp>
      <xdr:nvGrpSpPr>
        <xdr:cNvPr id="13" name="Группа 12"/>
        <xdr:cNvGrpSpPr/>
      </xdr:nvGrpSpPr>
      <xdr:grpSpPr>
        <a:xfrm>
          <a:off x="1429071" y="419100"/>
          <a:ext cx="10337475" cy="2496460"/>
          <a:chOff x="1429071" y="419100"/>
          <a:chExt cx="10337475" cy="2496460"/>
        </a:xfrm>
      </xdr:grpSpPr>
      <xdr:pic>
        <xdr:nvPicPr>
          <xdr:cNvPr id="6" name="Рисунок 5">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29071" y="2341660"/>
            <a:ext cx="3234898" cy="573900"/>
          </a:xfrm>
          <a:prstGeom prst="rect">
            <a:avLst/>
          </a:prstGeom>
        </xdr:spPr>
      </xdr:pic>
      <xdr:pic>
        <xdr:nvPicPr>
          <xdr:cNvPr id="3" name="Рисунок 2"/>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1708154" y="419100"/>
            <a:ext cx="10058392" cy="746202"/>
          </a:xfrm>
          <a:prstGeom prst="rect">
            <a:avLst/>
          </a:prstGeom>
        </xdr:spPr>
      </xdr:pic>
      <xdr:pic>
        <xdr:nvPicPr>
          <xdr:cNvPr id="12" name="Рисунок 11"/>
          <xdr:cNvPicPr>
            <a:picLocks noChangeAspect="1"/>
          </xdr:cNvPicPr>
        </xdr:nvPicPr>
        <xdr:blipFill rotWithShape="1">
          <a:blip xmlns:r="http://schemas.openxmlformats.org/officeDocument/2006/relationships" r:embed="rId4" cstate="print">
            <a:extLst>
              <a:ext uri="{28A0092B-C50C-407E-A947-70E740481C1C}">
                <a14:useLocalDpi xmlns="" xmlns:a14="http://schemas.microsoft.com/office/drawing/2010/main" val="0"/>
              </a:ext>
            </a:extLst>
          </a:blip>
          <a:srcRect t="23502" b="23340"/>
          <a:stretch/>
        </xdr:blipFill>
        <xdr:spPr>
          <a:xfrm>
            <a:off x="4800600" y="1168400"/>
            <a:ext cx="3351607" cy="12600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50800</xdr:colOff>
      <xdr:row>1</xdr:row>
      <xdr:rowOff>139700</xdr:rowOff>
    </xdr:from>
    <xdr:to>
      <xdr:col>6</xdr:col>
      <xdr:colOff>567346</xdr:colOff>
      <xdr:row>7</xdr:row>
      <xdr:rowOff>58060</xdr:rowOff>
    </xdr:to>
    <xdr:grpSp>
      <xdr:nvGrpSpPr>
        <xdr:cNvPr id="4" name="Группа 3"/>
        <xdr:cNvGrpSpPr/>
      </xdr:nvGrpSpPr>
      <xdr:grpSpPr>
        <a:xfrm>
          <a:off x="1473200" y="330200"/>
          <a:ext cx="8123846" cy="2305960"/>
          <a:chOff x="1473200" y="330200"/>
          <a:chExt cx="8123846" cy="2305960"/>
        </a:xfrm>
      </xdr:grpSpPr>
      <xdr:pic>
        <xdr:nvPicPr>
          <xdr:cNvPr id="6" name="Рисунок 5">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73200" y="2062260"/>
            <a:ext cx="2938118" cy="573900"/>
          </a:xfrm>
          <a:prstGeom prst="rect">
            <a:avLst/>
          </a:prstGeom>
        </xdr:spPr>
      </xdr:pic>
      <xdr:pic>
        <xdr:nvPicPr>
          <xdr:cNvPr id="10" name="Рисунок 9"/>
          <xdr:cNvPicPr>
            <a:picLocks noChangeAspect="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t="23502" b="23340"/>
          <a:stretch/>
        </xdr:blipFill>
        <xdr:spPr>
          <a:xfrm>
            <a:off x="4330700" y="1041400"/>
            <a:ext cx="3351607" cy="1260000"/>
          </a:xfrm>
          <a:prstGeom prst="rect">
            <a:avLst/>
          </a:prstGeom>
        </xdr:spPr>
      </xdr:pic>
      <xdr:pic>
        <xdr:nvPicPr>
          <xdr:cNvPr id="2" name="Рисунок 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2438400" y="330200"/>
            <a:ext cx="7158646" cy="7560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12700</xdr:colOff>
      <xdr:row>2</xdr:row>
      <xdr:rowOff>12700</xdr:rowOff>
    </xdr:from>
    <xdr:to>
      <xdr:col>6</xdr:col>
      <xdr:colOff>893749</xdr:colOff>
      <xdr:row>9</xdr:row>
      <xdr:rowOff>19960</xdr:rowOff>
    </xdr:to>
    <xdr:grpSp>
      <xdr:nvGrpSpPr>
        <xdr:cNvPr id="4" name="Группа 3"/>
        <xdr:cNvGrpSpPr/>
      </xdr:nvGrpSpPr>
      <xdr:grpSpPr>
        <a:xfrm>
          <a:off x="1435100" y="457200"/>
          <a:ext cx="8132749" cy="2102760"/>
          <a:chOff x="1435100" y="457200"/>
          <a:chExt cx="8132749" cy="2102760"/>
        </a:xfrm>
      </xdr:grpSpPr>
      <xdr:pic>
        <xdr:nvPicPr>
          <xdr:cNvPr id="6" name="Рисунок 5">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35100" y="1986060"/>
            <a:ext cx="2938118" cy="573900"/>
          </a:xfrm>
          <a:prstGeom prst="rect">
            <a:avLst/>
          </a:prstGeom>
        </xdr:spPr>
      </xdr:pic>
      <xdr:pic>
        <xdr:nvPicPr>
          <xdr:cNvPr id="10" name="Рисунок 9"/>
          <xdr:cNvPicPr>
            <a:picLocks noChangeAspect="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t="23502" b="23340"/>
          <a:stretch/>
        </xdr:blipFill>
        <xdr:spPr>
          <a:xfrm>
            <a:off x="5156200" y="1219200"/>
            <a:ext cx="3351607" cy="1260000"/>
          </a:xfrm>
          <a:prstGeom prst="rect">
            <a:avLst/>
          </a:prstGeom>
        </xdr:spPr>
      </xdr:pic>
      <xdr:pic>
        <xdr:nvPicPr>
          <xdr:cNvPr id="2" name="Рисунок 1"/>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4267200" y="457200"/>
            <a:ext cx="5300649" cy="7560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367393</xdr:colOff>
      <xdr:row>50</xdr:row>
      <xdr:rowOff>3328988</xdr:rowOff>
    </xdr:from>
    <xdr:to>
      <xdr:col>40</xdr:col>
      <xdr:colOff>0</xdr:colOff>
      <xdr:row>52</xdr:row>
      <xdr:rowOff>2149929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326571</xdr:colOff>
      <xdr:row>44</xdr:row>
      <xdr:rowOff>168390</xdr:rowOff>
    </xdr:from>
    <xdr:to>
      <xdr:col>40</xdr:col>
      <xdr:colOff>0</xdr:colOff>
      <xdr:row>50</xdr:row>
      <xdr:rowOff>2585357</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392907</xdr:colOff>
      <xdr:row>40</xdr:row>
      <xdr:rowOff>272142</xdr:rowOff>
    </xdr:from>
    <xdr:to>
      <xdr:col>18</xdr:col>
      <xdr:colOff>763701</xdr:colOff>
      <xdr:row>44</xdr:row>
      <xdr:rowOff>99786</xdr:rowOff>
    </xdr:to>
    <xdr:sp macro="" textlink="">
      <xdr:nvSpPr>
        <xdr:cNvPr id="3" name="TextBox 2"/>
        <xdr:cNvSpPr txBox="1"/>
      </xdr:nvSpPr>
      <xdr:spPr>
        <a:xfrm>
          <a:off x="12666550" y="8694963"/>
          <a:ext cx="8861651" cy="8617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i="1">
              <a:latin typeface="Times New Roman" pitchFamily="18" charset="0"/>
              <a:cs typeface="Times New Roman" pitchFamily="18" charset="0"/>
            </a:rPr>
            <a:t>На графике представлена  динамика показателя "Ежемесячная прибыль" за 36</a:t>
          </a:r>
          <a:r>
            <a:rPr lang="ru-RU" sz="1100" i="1" baseline="0">
              <a:latin typeface="Times New Roman" pitchFamily="18" charset="0"/>
              <a:cs typeface="Times New Roman" pitchFamily="18" charset="0"/>
            </a:rPr>
            <a:t> месяцев реализации проекта. Данный показатель подвержен влиянию сезонных факторов и наглядно отображает величину прибыли в каждый конкретный  месяц.</a:t>
          </a:r>
          <a:endParaRPr lang="ru-RU" sz="1100" i="1">
            <a:latin typeface="Times New Roman" pitchFamily="18" charset="0"/>
            <a:cs typeface="Times New Roman" pitchFamily="18" charset="0"/>
          </a:endParaRPr>
        </a:p>
      </xdr:txBody>
    </xdr:sp>
    <xdr:clientData/>
  </xdr:twoCellAnchor>
  <xdr:twoCellAnchor>
    <xdr:from>
      <xdr:col>10</xdr:col>
      <xdr:colOff>322489</xdr:colOff>
      <xdr:row>50</xdr:row>
      <xdr:rowOff>2759869</xdr:rowOff>
    </xdr:from>
    <xdr:to>
      <xdr:col>18</xdr:col>
      <xdr:colOff>693283</xdr:colOff>
      <xdr:row>50</xdr:row>
      <xdr:rowOff>3188494</xdr:rowOff>
    </xdr:to>
    <xdr:sp macro="" textlink="">
      <xdr:nvSpPr>
        <xdr:cNvPr id="6" name="TextBox 5"/>
        <xdr:cNvSpPr txBox="1"/>
      </xdr:nvSpPr>
      <xdr:spPr>
        <a:xfrm>
          <a:off x="11112953" y="12189619"/>
          <a:ext cx="7881937"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100" i="1">
              <a:latin typeface="Times New Roman" pitchFamily="18" charset="0"/>
              <a:cs typeface="Times New Roman" pitchFamily="18" charset="0"/>
            </a:rPr>
            <a:t>На графике представлена динамика показателя "Денежный поток по проекту".</a:t>
          </a:r>
          <a:r>
            <a:rPr lang="ru-RU" sz="1100" i="1" baseline="0">
              <a:latin typeface="Times New Roman" pitchFamily="18" charset="0"/>
              <a:cs typeface="Times New Roman" pitchFamily="18" charset="0"/>
            </a:rPr>
            <a:t> Данный показатель отражает финансовый результат предпринимательской деятельности на каждый конкретный период нарастающим итогом.</a:t>
          </a:r>
          <a:endParaRPr lang="ru-RU" sz="1100" i="1">
            <a:latin typeface="Times New Roman" pitchFamily="18" charset="0"/>
            <a:cs typeface="Times New Roman" pitchFamily="18" charset="0"/>
          </a:endParaRPr>
        </a:p>
      </xdr:txBody>
    </xdr:sp>
    <xdr:clientData/>
  </xdr:twoCellAnchor>
  <xdr:twoCellAnchor>
    <xdr:from>
      <xdr:col>6</xdr:col>
      <xdr:colOff>449035</xdr:colOff>
      <xdr:row>41</xdr:row>
      <xdr:rowOff>108857</xdr:rowOff>
    </xdr:from>
    <xdr:to>
      <xdr:col>10</xdr:col>
      <xdr:colOff>244929</xdr:colOff>
      <xdr:row>43</xdr:row>
      <xdr:rowOff>54428</xdr:rowOff>
    </xdr:to>
    <xdr:sp macro="" textlink="">
      <xdr:nvSpPr>
        <xdr:cNvPr id="8" name="TextBox 7"/>
        <xdr:cNvSpPr txBox="1"/>
      </xdr:nvSpPr>
      <xdr:spPr>
        <a:xfrm>
          <a:off x="7375071" y="7538357"/>
          <a:ext cx="3660322"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Динамика прибыли по проекту</a:t>
          </a:r>
        </a:p>
      </xdr:txBody>
    </xdr:sp>
    <xdr:clientData/>
  </xdr:twoCellAnchor>
  <xdr:twoCellAnchor>
    <xdr:from>
      <xdr:col>6</xdr:col>
      <xdr:colOff>353785</xdr:colOff>
      <xdr:row>50</xdr:row>
      <xdr:rowOff>2789463</xdr:rowOff>
    </xdr:from>
    <xdr:to>
      <xdr:col>10</xdr:col>
      <xdr:colOff>149679</xdr:colOff>
      <xdr:row>50</xdr:row>
      <xdr:rowOff>3116034</xdr:rowOff>
    </xdr:to>
    <xdr:sp macro="" textlink="">
      <xdr:nvSpPr>
        <xdr:cNvPr id="12" name="TextBox 11"/>
        <xdr:cNvSpPr txBox="1"/>
      </xdr:nvSpPr>
      <xdr:spPr>
        <a:xfrm>
          <a:off x="7279821" y="12219213"/>
          <a:ext cx="3660322"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1800">
              <a:latin typeface="Times New Roman" panose="02020603050405020304" pitchFamily="18" charset="0"/>
              <a:cs typeface="Times New Roman" panose="02020603050405020304" pitchFamily="18" charset="0"/>
            </a:rPr>
            <a:t>Денежный</a:t>
          </a:r>
          <a:r>
            <a:rPr lang="ru-RU" sz="1800" baseline="0">
              <a:latin typeface="Times New Roman" panose="02020603050405020304" pitchFamily="18" charset="0"/>
              <a:cs typeface="Times New Roman" panose="02020603050405020304" pitchFamily="18" charset="0"/>
            </a:rPr>
            <a:t> поток по проекту</a:t>
          </a:r>
          <a:endParaRPr lang="ru-RU" sz="1800">
            <a:latin typeface="Times New Roman" panose="02020603050405020304" pitchFamily="18" charset="0"/>
            <a:cs typeface="Times New Roman" panose="02020603050405020304" pitchFamily="18" charset="0"/>
          </a:endParaRPr>
        </a:p>
      </xdr:txBody>
    </xdr:sp>
    <xdr:clientData/>
  </xdr:twoCellAnchor>
  <xdr:twoCellAnchor>
    <xdr:from>
      <xdr:col>2</xdr:col>
      <xdr:colOff>12700</xdr:colOff>
      <xdr:row>1</xdr:row>
      <xdr:rowOff>228600</xdr:rowOff>
    </xdr:from>
    <xdr:to>
      <xdr:col>5</xdr:col>
      <xdr:colOff>414422</xdr:colOff>
      <xdr:row>9</xdr:row>
      <xdr:rowOff>19960</xdr:rowOff>
    </xdr:to>
    <xdr:grpSp>
      <xdr:nvGrpSpPr>
        <xdr:cNvPr id="10" name="Группа 9"/>
        <xdr:cNvGrpSpPr/>
      </xdr:nvGrpSpPr>
      <xdr:grpSpPr>
        <a:xfrm>
          <a:off x="1435100" y="419100"/>
          <a:ext cx="7437522" cy="2394860"/>
          <a:chOff x="1435100" y="419100"/>
          <a:chExt cx="7437522" cy="2394860"/>
        </a:xfrm>
      </xdr:grpSpPr>
      <xdr:pic>
        <xdr:nvPicPr>
          <xdr:cNvPr id="13" name="Рисунок 1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1435100" y="2240060"/>
            <a:ext cx="2938118" cy="573900"/>
          </a:xfrm>
          <a:prstGeom prst="rect">
            <a:avLst/>
          </a:prstGeom>
        </xdr:spPr>
      </xdr:pic>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4381500" y="419100"/>
            <a:ext cx="4491122" cy="756000"/>
          </a:xfrm>
          <a:prstGeom prst="rect">
            <a:avLst/>
          </a:prstGeom>
        </xdr:spPr>
      </xdr:pic>
      <xdr:pic>
        <xdr:nvPicPr>
          <xdr:cNvPr id="17" name="Рисунок 16"/>
          <xdr:cNvPicPr>
            <a:picLocks noChangeAspect="1"/>
          </xdr:cNvPicPr>
        </xdr:nvPicPr>
        <xdr:blipFill rotWithShape="1">
          <a:blip xmlns:r="http://schemas.openxmlformats.org/officeDocument/2006/relationships" r:embed="rId6" cstate="print">
            <a:extLst>
              <a:ext uri="{28A0092B-C50C-407E-A947-70E740481C1C}">
                <a14:useLocalDpi xmlns="" xmlns:a14="http://schemas.microsoft.com/office/drawing/2010/main" val="0"/>
              </a:ext>
            </a:extLst>
          </a:blip>
          <a:srcRect t="23502" b="23340"/>
          <a:stretch/>
        </xdr:blipFill>
        <xdr:spPr>
          <a:xfrm>
            <a:off x="4787900" y="1193800"/>
            <a:ext cx="3351607" cy="126000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523875</xdr:colOff>
      <xdr:row>9</xdr:row>
      <xdr:rowOff>85044</xdr:rowOff>
    </xdr:from>
    <xdr:to>
      <xdr:col>13</xdr:col>
      <xdr:colOff>244928</xdr:colOff>
      <xdr:row>16</xdr:row>
      <xdr:rowOff>2609169</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537481</xdr:colOff>
      <xdr:row>17</xdr:row>
      <xdr:rowOff>333374</xdr:rowOff>
    </xdr:from>
    <xdr:to>
      <xdr:col>13</xdr:col>
      <xdr:colOff>258534</xdr:colOff>
      <xdr:row>25</xdr:row>
      <xdr:rowOff>142873</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534079</xdr:colOff>
      <xdr:row>25</xdr:row>
      <xdr:rowOff>415017</xdr:rowOff>
    </xdr:from>
    <xdr:to>
      <xdr:col>13</xdr:col>
      <xdr:colOff>231320</xdr:colOff>
      <xdr:row>32</xdr:row>
      <xdr:rowOff>367392</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673100</xdr:colOff>
      <xdr:row>5</xdr:row>
      <xdr:rowOff>81060</xdr:rowOff>
    </xdr:from>
    <xdr:to>
      <xdr:col>4</xdr:col>
      <xdr:colOff>766418</xdr:colOff>
      <xdr:row>6</xdr:row>
      <xdr:rowOff>235860</xdr:rowOff>
    </xdr:to>
    <xdr:pic>
      <xdr:nvPicPr>
        <xdr:cNvPr id="14" name="Рисунок 1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1384300" y="2227360"/>
          <a:ext cx="2938118" cy="573900"/>
        </a:xfrm>
        <a:prstGeom prst="rect">
          <a:avLst/>
        </a:prstGeom>
      </xdr:spPr>
    </xdr:pic>
    <xdr:clientData/>
  </xdr:twoCellAnchor>
  <xdr:twoCellAnchor>
    <xdr:from>
      <xdr:col>2</xdr:col>
      <xdr:colOff>1231900</xdr:colOff>
      <xdr:row>1</xdr:row>
      <xdr:rowOff>114300</xdr:rowOff>
    </xdr:from>
    <xdr:to>
      <xdr:col>11</xdr:col>
      <xdr:colOff>311698</xdr:colOff>
      <xdr:row>5</xdr:row>
      <xdr:rowOff>117000</xdr:rowOff>
    </xdr:to>
    <xdr:grpSp>
      <xdr:nvGrpSpPr>
        <xdr:cNvPr id="4" name="Группа 3"/>
        <xdr:cNvGrpSpPr/>
      </xdr:nvGrpSpPr>
      <xdr:grpSpPr>
        <a:xfrm>
          <a:off x="2654300" y="304800"/>
          <a:ext cx="6890298" cy="1958500"/>
          <a:chOff x="2806700" y="304800"/>
          <a:chExt cx="6890298" cy="1958500"/>
        </a:xfrm>
      </xdr:grpSpPr>
      <xdr:pic>
        <xdr:nvPicPr>
          <xdr:cNvPr id="3" name="Рисунок 2"/>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2806700" y="304800"/>
            <a:ext cx="6890298" cy="755999"/>
          </a:xfrm>
          <a:prstGeom prst="rect">
            <a:avLst/>
          </a:prstGeom>
        </xdr:spPr>
      </xdr:pic>
      <xdr:pic>
        <xdr:nvPicPr>
          <xdr:cNvPr id="16" name="Рисунок 15"/>
          <xdr:cNvPicPr>
            <a:picLocks noChangeAspect="1"/>
          </xdr:cNvPicPr>
        </xdr:nvPicPr>
        <xdr:blipFill rotWithShape="1">
          <a:blip xmlns:r="http://schemas.openxmlformats.org/officeDocument/2006/relationships" r:embed="rId7" cstate="print">
            <a:extLst>
              <a:ext uri="{28A0092B-C50C-407E-A947-70E740481C1C}">
                <a14:useLocalDpi xmlns="" xmlns:a14="http://schemas.microsoft.com/office/drawing/2010/main" val="0"/>
              </a:ext>
            </a:extLst>
          </a:blip>
          <a:srcRect t="23502" b="23340"/>
          <a:stretch/>
        </xdr:blipFill>
        <xdr:spPr>
          <a:xfrm>
            <a:off x="4572000" y="1003300"/>
            <a:ext cx="3351607" cy="12600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5;&#1086;&#1083;&#1100;&#1079;&#1086;&#1074;&#1072;&#1090;&#1077;&#1083;&#1100;/Downloads/Telegram%20Desktop/&#1060;&#1080;&#1085;&#1084;&#1086;&#1076;&#1077;&#1083;&#1100;%20&#1048;&#1076;&#1077;&#1072;&#1083;&#1100;&#1085;&#1099;&#1081;%20&#1076;&#1077;&#1085;&#11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55;&#1086;&#1083;&#1100;&#1079;&#1086;&#1074;&#1072;&#1090;&#1077;&#1083;&#1100;/Dropbox/&#1060;&#1088;&#1072;&#1085;&#1095;&#1072;&#1081;&#1079;&#1080;&#1085;&#1075;5/ReActive/&#1060;&#1080;&#1085;&#1072;&#1085;&#1089;&#1086;&#1074;&#1072;&#1103;%20&#1084;&#1086;&#1076;&#1077;&#1083;&#1100;%20ReActive%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052;&#1072;&#1088;&#1080;&#1103;/Dropbox/&#1060;&#1088;&#1072;&#1085;&#1095;&#1072;&#1081;&#1079;&#1080;&#1085;&#1075;5/&#1047;&#1040;&#1050;&#1056;&#1067;&#1058;&#1054;/&#1052;&#1072;&#1075;&#1072;&#1088;&#1099;&#1095;/&#1060;&#1080;&#1085;&#1084;&#1086;&#1076;&#1077;&#1083;&#1100;%20&#1052;&#1072;&#1075;&#1072;&#1088;&#1099;&#1095;%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070;&#1089;&#1077;&#1088;/Desktop/&#1055;&#1077;&#1088;&#1077;&#1082;&#1088;&#1077;&#1089;&#1090;&#1086;&#1082;/&#1060;&#1052;%20&#1055;&#1045;&#1056;&#1045;&#1050;&#1056;&#1045;&#1057;&#1058;&#1054;&#1050;%20(&#1064;&#1058;&#1040;&#104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51;&#1080;&#1089;&#1090;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ьная страница"/>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sheetName val="Лист1"/>
      <sheetName val="Глоссарий"/>
      <sheetName val="Гибкость2"/>
      <sheetName val="Кредитование"/>
      <sheetName val="20"/>
      <sheetName val="40"/>
      <sheetName val="60"/>
      <sheetName val="80"/>
      <sheetName val="100"/>
      <sheetName val="120"/>
      <sheetName val="140"/>
      <sheetName val="160"/>
      <sheetName val="180"/>
    </sheetNames>
    <sheetDataSet>
      <sheetData sheetId="0"/>
      <sheetData sheetId="1"/>
      <sheetData sheetId="2"/>
      <sheetData sheetId="3"/>
      <sheetData sheetId="4"/>
      <sheetData sheetId="5">
        <row r="4">
          <cell r="B4">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ьный лист"/>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Расчеты гибкости"/>
      <sheetName val="Кредитование"/>
      <sheetName val="Гибкость"/>
      <sheetName val="Глоссарий"/>
      <sheetName val="Сезонность рын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Титульный лист"/>
      <sheetName val="Cтруктура"/>
      <sheetName val="Входящие данные"/>
      <sheetName val="Этапы запуска Проекта"/>
      <sheetName val="Инвестиции на орг-цию бизнеса"/>
      <sheetName val="Ежемесячные затраты"/>
      <sheetName val="Продажи"/>
      <sheetName val="Прибыль_окупаемость"/>
      <sheetName val="Гибкость бизнеса"/>
      <sheetName val="Гибкость"/>
      <sheetName val="Глоссарий"/>
      <sheetName val="20"/>
      <sheetName val="40"/>
      <sheetName val="60"/>
      <sheetName val="80"/>
      <sheetName val="120"/>
      <sheetName val="140"/>
      <sheetName val="160"/>
      <sheetName val="180"/>
      <sheetName val="Кредитование"/>
      <sheetName val="Лист1"/>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Титульная страница"/>
      <sheetName val="Структура"/>
      <sheetName val="Входящие данные"/>
      <sheetName val="Этапы запуска Проекта"/>
      <sheetName val="Инвестиции на орг-цию бизнеса"/>
      <sheetName val="Ежемесячные затраты"/>
      <sheetName val="Продажи"/>
      <sheetName val="Сезон"/>
      <sheetName val="Прибыль_окупаемость"/>
      <sheetName val="Гибкость"/>
      <sheetName val="Глоссарий"/>
      <sheetName val="Допущения и ограничения"/>
      <sheetName val="Кредитование"/>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Лист1"/>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3AAA35"/>
  </sheetPr>
  <dimension ref="A1:AB20"/>
  <sheetViews>
    <sheetView showGridLines="0" tabSelected="1" zoomScale="75" zoomScaleNormal="75" workbookViewId="0"/>
  </sheetViews>
  <sheetFormatPr defaultRowHeight="15"/>
  <cols>
    <col min="1" max="1" width="9.140625" style="129"/>
    <col min="2" max="28" width="9.140625" style="124"/>
    <col min="29" max="16384" width="9.140625" style="86"/>
  </cols>
  <sheetData>
    <row r="1" spans="1:28" s="85" customFormat="1" ht="19.5">
      <c r="A1" s="132"/>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row>
    <row r="2" spans="1:28" ht="33.75">
      <c r="F2" s="130"/>
      <c r="G2" s="130"/>
      <c r="H2" s="130"/>
      <c r="I2" s="130"/>
      <c r="J2" s="130"/>
      <c r="K2" s="130"/>
      <c r="L2" s="130"/>
      <c r="M2" s="130"/>
    </row>
    <row r="3" spans="1:28" ht="33.75">
      <c r="F3" s="130"/>
      <c r="G3" s="130"/>
      <c r="H3" s="130"/>
      <c r="I3" s="130"/>
      <c r="J3" s="130"/>
      <c r="K3" s="130"/>
      <c r="L3" s="130"/>
      <c r="M3" s="130"/>
    </row>
    <row r="4" spans="1:28" ht="33.75">
      <c r="F4" s="130"/>
      <c r="G4" s="130"/>
      <c r="H4" s="130"/>
      <c r="I4" s="130"/>
      <c r="J4" s="130"/>
      <c r="K4" s="130"/>
      <c r="L4" s="130"/>
      <c r="M4" s="130"/>
    </row>
    <row r="5" spans="1:28" ht="33.75">
      <c r="F5" s="130"/>
      <c r="G5" s="130"/>
      <c r="H5" s="130"/>
      <c r="I5" s="130"/>
      <c r="J5" s="130"/>
      <c r="K5" s="130"/>
      <c r="L5" s="130"/>
      <c r="M5" s="130"/>
    </row>
    <row r="6" spans="1:28" ht="33.75">
      <c r="F6" s="130"/>
      <c r="G6" s="130"/>
      <c r="I6" s="130"/>
      <c r="J6" s="130"/>
      <c r="K6" s="130"/>
      <c r="L6" s="130"/>
      <c r="M6" s="130"/>
    </row>
    <row r="7" spans="1:28" ht="33.75">
      <c r="F7" s="130"/>
      <c r="G7" s="130"/>
      <c r="H7" s="130"/>
      <c r="I7" s="130"/>
      <c r="J7" s="130"/>
      <c r="K7" s="130"/>
      <c r="L7" s="130"/>
      <c r="M7" s="130"/>
    </row>
    <row r="8" spans="1:28" ht="33.75">
      <c r="F8" s="130"/>
      <c r="G8" s="130"/>
      <c r="H8" s="130"/>
      <c r="I8" s="130"/>
      <c r="J8" s="130"/>
      <c r="K8" s="130"/>
      <c r="L8" s="130"/>
      <c r="M8" s="130"/>
    </row>
    <row r="9" spans="1:28" ht="33.75">
      <c r="F9" s="130"/>
      <c r="G9" s="130"/>
      <c r="H9" s="130"/>
      <c r="I9" s="130"/>
      <c r="J9" s="130"/>
      <c r="K9" s="130"/>
      <c r="L9" s="130"/>
      <c r="M9" s="130"/>
    </row>
    <row r="10" spans="1:28" ht="33.75">
      <c r="F10" s="130"/>
      <c r="G10" s="130"/>
      <c r="H10" s="130"/>
      <c r="I10" s="130"/>
      <c r="J10" s="130"/>
      <c r="K10" s="130"/>
      <c r="L10" s="130"/>
      <c r="M10" s="130"/>
      <c r="N10" s="131"/>
    </row>
    <row r="11" spans="1:28" ht="33.75">
      <c r="F11" s="130"/>
      <c r="G11" s="130"/>
      <c r="H11" s="130"/>
      <c r="I11" s="130"/>
      <c r="J11" s="130"/>
      <c r="K11" s="130"/>
      <c r="L11" s="130"/>
      <c r="M11" s="130"/>
    </row>
    <row r="12" spans="1:28" ht="33.75">
      <c r="F12" s="130"/>
      <c r="G12" s="130"/>
      <c r="H12" s="130"/>
      <c r="I12" s="130"/>
      <c r="J12" s="130"/>
      <c r="K12" s="130"/>
      <c r="L12" s="130"/>
      <c r="M12" s="130"/>
    </row>
    <row r="13" spans="1:28" ht="33.75">
      <c r="F13" s="130"/>
      <c r="G13" s="130"/>
      <c r="H13" s="130"/>
      <c r="I13" s="130"/>
      <c r="J13" s="130"/>
      <c r="K13" s="130"/>
      <c r="L13" s="130"/>
      <c r="M13" s="130"/>
    </row>
    <row r="14" spans="1:28" ht="33.75">
      <c r="F14" s="130"/>
      <c r="G14" s="130"/>
      <c r="H14" s="130"/>
      <c r="I14" s="130"/>
      <c r="J14" s="130"/>
      <c r="K14" s="130"/>
      <c r="L14" s="130"/>
      <c r="M14" s="130"/>
    </row>
    <row r="15" spans="1:28" ht="33.75">
      <c r="F15" s="130"/>
      <c r="G15" s="130"/>
      <c r="H15" s="130"/>
      <c r="I15" s="130"/>
      <c r="J15" s="130"/>
      <c r="K15" s="130"/>
      <c r="L15" s="130"/>
      <c r="M15" s="130"/>
    </row>
    <row r="16" spans="1:28" ht="33.75">
      <c r="F16" s="130"/>
      <c r="G16" s="130"/>
      <c r="H16" s="130"/>
      <c r="I16" s="130"/>
      <c r="J16" s="130"/>
      <c r="K16" s="130"/>
      <c r="L16" s="130"/>
      <c r="M16" s="130"/>
    </row>
    <row r="17" spans="6:13" ht="33.75">
      <c r="F17" s="130"/>
      <c r="G17" s="130"/>
      <c r="H17" s="130"/>
      <c r="I17" s="130"/>
      <c r="J17" s="130"/>
      <c r="K17" s="130"/>
      <c r="L17" s="130"/>
      <c r="M17" s="130"/>
    </row>
    <row r="18" spans="6:13" ht="33.75">
      <c r="F18" s="130"/>
      <c r="G18" s="130"/>
      <c r="H18" s="130"/>
      <c r="I18" s="130"/>
      <c r="J18" s="130"/>
      <c r="K18" s="130"/>
      <c r="L18" s="130"/>
      <c r="M18" s="130"/>
    </row>
    <row r="19" spans="6:13" ht="33.75">
      <c r="F19" s="130"/>
      <c r="G19" s="130"/>
      <c r="H19" s="130"/>
      <c r="I19" s="130"/>
      <c r="J19" s="130"/>
      <c r="K19" s="130"/>
      <c r="L19" s="130"/>
      <c r="M19" s="130"/>
    </row>
    <row r="20" spans="6:13" ht="33.75">
      <c r="F20" s="130"/>
      <c r="G20" s="130"/>
      <c r="H20" s="130"/>
      <c r="I20" s="130"/>
      <c r="J20" s="130"/>
      <c r="K20" s="130"/>
      <c r="L20" s="130"/>
      <c r="M20" s="130"/>
    </row>
  </sheetData>
  <sheetProtection selectLockedCells="1" selectUnlockedCell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Лист10">
    <tabColor rgb="FF3AAA35"/>
  </sheetPr>
  <dimension ref="A1:I17"/>
  <sheetViews>
    <sheetView showGridLines="0" zoomScale="75" zoomScaleNormal="75" workbookViewId="0">
      <selection activeCell="L2" sqref="L2"/>
    </sheetView>
  </sheetViews>
  <sheetFormatPr defaultRowHeight="15"/>
  <cols>
    <col min="1" max="2" width="10.7109375" style="359" customWidth="1"/>
    <col min="3" max="3" width="28.140625" style="359" customWidth="1"/>
    <col min="4" max="4" width="93.42578125" style="359" customWidth="1"/>
    <col min="5" max="5" width="15.28515625" style="359" customWidth="1"/>
    <col min="6" max="6" width="18" style="359" customWidth="1"/>
    <col min="7" max="7" width="25.140625" style="359" customWidth="1"/>
    <col min="8" max="8" width="10.7109375" style="359" customWidth="1"/>
    <col min="9" max="9" width="16" style="359" customWidth="1"/>
    <col min="10" max="16384" width="9.140625" style="90"/>
  </cols>
  <sheetData>
    <row r="1" spans="1:9" ht="15.75" customHeight="1" thickBot="1">
      <c r="A1" s="372"/>
    </row>
    <row r="2" spans="1:9" ht="24.75" customHeight="1">
      <c r="B2" s="360"/>
      <c r="C2" s="361"/>
      <c r="D2" s="361"/>
      <c r="E2" s="361"/>
      <c r="F2" s="361"/>
      <c r="G2" s="361"/>
      <c r="H2" s="362"/>
    </row>
    <row r="3" spans="1:9" ht="24.75" customHeight="1">
      <c r="B3" s="363"/>
      <c r="C3" s="364"/>
      <c r="D3" s="364"/>
      <c r="E3" s="364"/>
      <c r="F3" s="364"/>
      <c r="G3" s="364"/>
      <c r="H3" s="365"/>
    </row>
    <row r="4" spans="1:9" ht="16.5" customHeight="1">
      <c r="B4" s="363"/>
      <c r="C4" s="364"/>
      <c r="D4" s="364"/>
      <c r="E4" s="364"/>
      <c r="F4" s="364"/>
      <c r="G4" s="364"/>
      <c r="H4" s="365"/>
    </row>
    <row r="5" spans="1:9" ht="16.5" customHeight="1">
      <c r="B5" s="363"/>
      <c r="C5" s="364"/>
      <c r="D5" s="364"/>
      <c r="E5" s="364"/>
      <c r="F5" s="364"/>
      <c r="G5" s="364"/>
      <c r="H5" s="365"/>
    </row>
    <row r="6" spans="1:9" ht="16.5" customHeight="1">
      <c r="B6" s="363"/>
      <c r="C6" s="364"/>
      <c r="D6" s="364"/>
      <c r="E6" s="364"/>
      <c r="F6" s="308"/>
      <c r="G6" s="307"/>
      <c r="H6" s="366"/>
    </row>
    <row r="7" spans="1:9" ht="16.5" customHeight="1">
      <c r="B7" s="363"/>
      <c r="C7" s="364"/>
      <c r="D7" s="364"/>
      <c r="E7" s="364"/>
      <c r="F7" s="308"/>
      <c r="G7" s="307"/>
      <c r="H7" s="366"/>
    </row>
    <row r="8" spans="1:9" ht="16.5" customHeight="1">
      <c r="B8" s="363"/>
      <c r="C8" s="364"/>
      <c r="D8" s="364"/>
      <c r="E8" s="364"/>
      <c r="F8" s="308"/>
      <c r="G8" s="307"/>
      <c r="H8" s="366"/>
    </row>
    <row r="9" spans="1:9" ht="16.5" customHeight="1">
      <c r="B9" s="363"/>
      <c r="C9" s="364"/>
      <c r="D9" s="364"/>
      <c r="E9" s="364"/>
      <c r="F9" s="308"/>
      <c r="G9" s="307"/>
      <c r="H9" s="366"/>
    </row>
    <row r="10" spans="1:9" ht="237" customHeight="1">
      <c r="B10" s="363"/>
      <c r="C10" s="367" t="s">
        <v>64</v>
      </c>
      <c r="D10" s="618" t="s">
        <v>87</v>
      </c>
      <c r="E10" s="618"/>
      <c r="F10" s="618"/>
      <c r="G10" s="618"/>
      <c r="H10" s="365"/>
    </row>
    <row r="11" spans="1:9" ht="208.5" customHeight="1">
      <c r="B11" s="363"/>
      <c r="C11" s="367" t="s">
        <v>63</v>
      </c>
      <c r="D11" s="618" t="s">
        <v>94</v>
      </c>
      <c r="E11" s="618"/>
      <c r="F11" s="618"/>
      <c r="G11" s="618"/>
      <c r="H11" s="365"/>
      <c r="I11" s="368"/>
    </row>
    <row r="12" spans="1:9" ht="81.75" customHeight="1">
      <c r="B12" s="363"/>
      <c r="C12" s="367" t="s">
        <v>62</v>
      </c>
      <c r="D12" s="618" t="s">
        <v>61</v>
      </c>
      <c r="E12" s="618"/>
      <c r="F12" s="618"/>
      <c r="G12" s="618"/>
      <c r="H12" s="365"/>
    </row>
    <row r="13" spans="1:9" ht="62.25" customHeight="1">
      <c r="B13" s="363"/>
      <c r="C13" s="367" t="s">
        <v>60</v>
      </c>
      <c r="D13" s="618" t="s">
        <v>59</v>
      </c>
      <c r="E13" s="618"/>
      <c r="F13" s="618"/>
      <c r="G13" s="618"/>
      <c r="H13" s="365"/>
    </row>
    <row r="14" spans="1:9" ht="52.5" customHeight="1">
      <c r="B14" s="363"/>
      <c r="C14" s="367" t="s">
        <v>27</v>
      </c>
      <c r="D14" s="618" t="s">
        <v>58</v>
      </c>
      <c r="E14" s="618"/>
      <c r="F14" s="618"/>
      <c r="G14" s="618"/>
      <c r="H14" s="365"/>
    </row>
    <row r="15" spans="1:9" ht="87" customHeight="1">
      <c r="B15" s="363"/>
      <c r="C15" s="367" t="s">
        <v>57</v>
      </c>
      <c r="D15" s="618" t="s">
        <v>56</v>
      </c>
      <c r="E15" s="618"/>
      <c r="F15" s="618"/>
      <c r="G15" s="618"/>
      <c r="H15" s="365"/>
    </row>
    <row r="16" spans="1:9">
      <c r="B16" s="363"/>
      <c r="C16" s="364"/>
      <c r="D16" s="364"/>
      <c r="E16" s="364"/>
      <c r="F16" s="364"/>
      <c r="G16" s="364"/>
      <c r="H16" s="365"/>
    </row>
    <row r="17" spans="2:8" ht="15.75" thickBot="1">
      <c r="B17" s="369"/>
      <c r="C17" s="370"/>
      <c r="D17" s="370"/>
      <c r="E17" s="370"/>
      <c r="F17" s="370"/>
      <c r="G17" s="370"/>
      <c r="H17" s="371"/>
    </row>
  </sheetData>
  <mergeCells count="6">
    <mergeCell ref="D13:G13"/>
    <mergeCell ref="D14:G14"/>
    <mergeCell ref="D15:G15"/>
    <mergeCell ref="D10:G10"/>
    <mergeCell ref="D11:G11"/>
    <mergeCell ref="D12:G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codeName="Лист11">
    <tabColor rgb="FF3AAA35"/>
  </sheetPr>
  <dimension ref="A1:M34"/>
  <sheetViews>
    <sheetView showGridLines="0" zoomScale="75" zoomScaleNormal="75" workbookViewId="0">
      <selection activeCell="J21" sqref="J21"/>
    </sheetView>
  </sheetViews>
  <sheetFormatPr defaultColWidth="15.140625" defaultRowHeight="15"/>
  <cols>
    <col min="1" max="2" width="10.7109375" style="133" customWidth="1"/>
    <col min="3" max="9" width="22.7109375" style="136" customWidth="1"/>
    <col min="10" max="10" width="10.7109375" style="133" customWidth="1"/>
    <col min="11" max="11" width="26.5703125" style="136" customWidth="1"/>
    <col min="12" max="12" width="15.140625" style="136" customWidth="1"/>
    <col min="13" max="16384" width="15.140625" style="109"/>
  </cols>
  <sheetData>
    <row r="1" spans="2:11" ht="15.75" thickBot="1">
      <c r="C1" s="134"/>
      <c r="D1" s="134"/>
      <c r="E1" s="134"/>
      <c r="F1" s="134"/>
      <c r="G1" s="134"/>
      <c r="H1" s="134"/>
      <c r="I1" s="135"/>
    </row>
    <row r="2" spans="2:11">
      <c r="B2" s="137"/>
      <c r="C2" s="138"/>
      <c r="D2" s="138"/>
      <c r="E2" s="138"/>
      <c r="F2" s="138"/>
      <c r="G2" s="138"/>
      <c r="H2" s="138"/>
      <c r="I2" s="139"/>
      <c r="J2" s="140"/>
    </row>
    <row r="3" spans="2:11" ht="20.25">
      <c r="B3" s="519"/>
      <c r="C3" s="520"/>
      <c r="D3" s="520"/>
      <c r="E3" s="520"/>
      <c r="F3" s="520"/>
      <c r="G3" s="520"/>
      <c r="H3" s="520"/>
      <c r="I3" s="520"/>
      <c r="J3" s="141"/>
    </row>
    <row r="4" spans="2:11" ht="30.75" customHeight="1">
      <c r="B4" s="619"/>
      <c r="C4" s="620"/>
      <c r="D4" s="620"/>
      <c r="E4" s="620"/>
      <c r="F4" s="620"/>
      <c r="G4" s="620"/>
      <c r="H4" s="620"/>
      <c r="I4" s="620"/>
      <c r="J4" s="141"/>
    </row>
    <row r="5" spans="2:11" ht="39.75" customHeight="1">
      <c r="B5" s="285"/>
      <c r="C5" s="373"/>
      <c r="D5" s="373"/>
      <c r="E5" s="373"/>
      <c r="F5" s="373"/>
      <c r="G5" s="373"/>
      <c r="H5" s="373"/>
      <c r="I5" s="374"/>
      <c r="J5" s="141"/>
      <c r="K5" s="131"/>
    </row>
    <row r="6" spans="2:11" ht="39.75" customHeight="1">
      <c r="B6" s="285"/>
      <c r="C6" s="373"/>
      <c r="D6" s="373"/>
      <c r="E6" s="373"/>
      <c r="F6" s="373"/>
      <c r="G6" s="373"/>
      <c r="H6" s="623"/>
      <c r="I6" s="623"/>
      <c r="J6" s="141"/>
      <c r="K6" s="131"/>
    </row>
    <row r="7" spans="2:11" ht="18" customHeight="1">
      <c r="B7" s="285"/>
      <c r="C7" s="373"/>
      <c r="D7" s="373"/>
      <c r="E7" s="373"/>
      <c r="F7" s="373"/>
      <c r="G7" s="373"/>
      <c r="H7" s="623" t="s">
        <v>109</v>
      </c>
      <c r="I7" s="623"/>
      <c r="J7" s="141"/>
    </row>
    <row r="8" spans="2:11" ht="18" customHeight="1">
      <c r="B8" s="285"/>
      <c r="C8" s="373"/>
      <c r="D8" s="373"/>
      <c r="E8" s="373"/>
      <c r="F8" s="373"/>
      <c r="G8" s="373"/>
      <c r="H8" s="470"/>
      <c r="I8" s="542" t="s">
        <v>4</v>
      </c>
      <c r="J8" s="543"/>
    </row>
    <row r="9" spans="2:11" ht="20.25" customHeight="1">
      <c r="B9" s="285"/>
      <c r="C9" s="373"/>
      <c r="D9" s="373"/>
      <c r="E9" s="373"/>
      <c r="F9" s="373"/>
      <c r="G9" s="373"/>
      <c r="H9" s="311"/>
      <c r="I9" s="542" t="s">
        <v>5</v>
      </c>
      <c r="J9" s="543"/>
    </row>
    <row r="10" spans="2:11" ht="20.25" customHeight="1" thickBot="1">
      <c r="B10" s="285"/>
      <c r="C10" s="373"/>
      <c r="D10" s="373"/>
      <c r="E10" s="373"/>
      <c r="F10" s="373"/>
      <c r="G10" s="373"/>
      <c r="H10" s="309"/>
      <c r="I10" s="309"/>
      <c r="J10" s="375"/>
      <c r="K10" s="131"/>
    </row>
    <row r="11" spans="2:11" ht="24" customHeight="1">
      <c r="B11" s="285"/>
      <c r="C11" s="373"/>
      <c r="D11" s="630" t="s">
        <v>97</v>
      </c>
      <c r="E11" s="630"/>
      <c r="F11" s="630"/>
      <c r="G11" s="630"/>
      <c r="H11" s="630"/>
      <c r="I11" s="444"/>
      <c r="J11" s="141"/>
    </row>
    <row r="12" spans="2:11" ht="24" customHeight="1">
      <c r="B12" s="285"/>
      <c r="C12" s="376"/>
      <c r="D12" s="626" t="s">
        <v>124</v>
      </c>
      <c r="E12" s="626"/>
      <c r="F12" s="626"/>
      <c r="G12" s="626"/>
      <c r="H12" s="626"/>
      <c r="I12" s="444"/>
      <c r="J12" s="377"/>
    </row>
    <row r="13" spans="2:11" ht="24" customHeight="1">
      <c r="B13" s="285"/>
      <c r="C13" s="376"/>
      <c r="D13" s="632" t="s">
        <v>143</v>
      </c>
      <c r="E13" s="632"/>
      <c r="F13" s="632"/>
      <c r="G13" s="632"/>
      <c r="H13" s="632"/>
      <c r="I13" s="515"/>
      <c r="J13" s="377"/>
    </row>
    <row r="14" spans="2:11" ht="39.75" customHeight="1">
      <c r="B14" s="285"/>
      <c r="C14" s="376"/>
      <c r="D14" s="633"/>
      <c r="E14" s="633"/>
      <c r="F14" s="633"/>
      <c r="G14" s="633"/>
      <c r="H14" s="633"/>
      <c r="I14" s="444"/>
      <c r="J14" s="377"/>
    </row>
    <row r="15" spans="2:11" ht="100.5" customHeight="1" thickBot="1">
      <c r="B15" s="285"/>
      <c r="C15" s="376"/>
      <c r="D15" s="631" t="s">
        <v>168</v>
      </c>
      <c r="E15" s="631"/>
      <c r="F15" s="631"/>
      <c r="G15" s="631"/>
      <c r="H15" s="631"/>
      <c r="I15" s="444"/>
      <c r="J15" s="378"/>
    </row>
    <row r="16" spans="2:11" ht="17.25" customHeight="1">
      <c r="B16" s="285"/>
      <c r="C16" s="376"/>
      <c r="D16" s="376"/>
      <c r="E16" s="415"/>
      <c r="F16" s="376"/>
      <c r="G16" s="376"/>
      <c r="H16" s="376"/>
      <c r="I16" s="376"/>
      <c r="J16" s="141"/>
      <c r="K16" s="131"/>
    </row>
    <row r="17" spans="1:13" ht="41.25" customHeight="1">
      <c r="B17" s="285"/>
      <c r="C17" s="627" t="s">
        <v>96</v>
      </c>
      <c r="D17" s="628"/>
      <c r="E17" s="628"/>
      <c r="F17" s="628"/>
      <c r="G17" s="628"/>
      <c r="H17" s="628"/>
      <c r="I17" s="629"/>
      <c r="J17" s="141"/>
      <c r="K17" s="131"/>
    </row>
    <row r="18" spans="1:13" ht="41.25" customHeight="1">
      <c r="B18" s="379"/>
      <c r="C18" s="380" t="s">
        <v>89</v>
      </c>
      <c r="D18" s="621" t="s">
        <v>164</v>
      </c>
      <c r="E18" s="622"/>
      <c r="F18" s="624" t="s">
        <v>162</v>
      </c>
      <c r="G18" s="625"/>
      <c r="H18" s="624" t="s">
        <v>163</v>
      </c>
      <c r="I18" s="625"/>
      <c r="J18" s="141"/>
      <c r="K18" s="131"/>
    </row>
    <row r="19" spans="1:13" ht="126.75" customHeight="1">
      <c r="B19" s="379"/>
      <c r="C19" s="447" t="s">
        <v>95</v>
      </c>
      <c r="D19" s="635" t="s">
        <v>165</v>
      </c>
      <c r="E19" s="636"/>
      <c r="F19" s="637" t="s">
        <v>166</v>
      </c>
      <c r="G19" s="638"/>
      <c r="H19" s="637" t="s">
        <v>167</v>
      </c>
      <c r="I19" s="638"/>
      <c r="J19" s="141"/>
      <c r="K19" s="131"/>
    </row>
    <row r="20" spans="1:13" ht="41.25" customHeight="1">
      <c r="B20" s="379"/>
      <c r="C20" s="405" t="s">
        <v>151</v>
      </c>
      <c r="D20" s="634">
        <v>250</v>
      </c>
      <c r="E20" s="634"/>
      <c r="F20" s="634">
        <v>500</v>
      </c>
      <c r="G20" s="634"/>
      <c r="H20" s="634">
        <v>700</v>
      </c>
      <c r="I20" s="634"/>
      <c r="J20" s="141"/>
      <c r="K20" s="131"/>
    </row>
    <row r="21" spans="1:13" ht="41.25" customHeight="1">
      <c r="B21" s="379"/>
      <c r="C21" s="381" t="s">
        <v>205</v>
      </c>
      <c r="D21" s="639"/>
      <c r="E21" s="639"/>
      <c r="F21" s="639"/>
      <c r="G21" s="639"/>
      <c r="H21" s="639"/>
      <c r="I21" s="639"/>
      <c r="J21" s="141"/>
      <c r="K21" s="131"/>
    </row>
    <row r="22" spans="1:13" ht="14.25" customHeight="1">
      <c r="B22" s="379"/>
      <c r="C22" s="133"/>
      <c r="D22" s="133"/>
      <c r="E22" s="133"/>
      <c r="F22" s="133"/>
      <c r="G22" s="133"/>
      <c r="H22" s="133"/>
      <c r="I22" s="133"/>
      <c r="J22" s="141"/>
      <c r="K22" s="131"/>
    </row>
    <row r="23" spans="1:13" s="113" customFormat="1" ht="14.25" customHeight="1">
      <c r="A23" s="382"/>
      <c r="B23" s="383"/>
      <c r="C23" s="382"/>
      <c r="D23" s="382"/>
      <c r="E23" s="382"/>
      <c r="F23" s="382"/>
      <c r="G23" s="382"/>
      <c r="H23" s="382"/>
      <c r="I23" s="382"/>
      <c r="J23" s="384"/>
      <c r="K23" s="382"/>
      <c r="L23" s="453"/>
    </row>
    <row r="24" spans="1:13" s="90" customFormat="1" ht="24.75" customHeight="1">
      <c r="A24" s="359"/>
      <c r="B24" s="363"/>
      <c r="C24" s="385"/>
      <c r="D24" s="648" t="s">
        <v>90</v>
      </c>
      <c r="E24" s="649"/>
      <c r="F24" s="649"/>
      <c r="G24" s="649"/>
      <c r="H24" s="650"/>
      <c r="I24" s="382"/>
      <c r="J24" s="365"/>
      <c r="K24" s="359"/>
      <c r="L24" s="359"/>
    </row>
    <row r="25" spans="1:13" s="90" customFormat="1" ht="24.75" customHeight="1">
      <c r="A25" s="359"/>
      <c r="B25" s="363"/>
      <c r="C25" s="385"/>
      <c r="D25" s="651" t="s">
        <v>91</v>
      </c>
      <c r="E25" s="652"/>
      <c r="F25" s="653"/>
      <c r="G25" s="640">
        <v>43260</v>
      </c>
      <c r="H25" s="641"/>
      <c r="I25" s="382"/>
      <c r="J25" s="365"/>
      <c r="K25" s="359"/>
      <c r="L25" s="359"/>
    </row>
    <row r="26" spans="1:13" s="90" customFormat="1" ht="24.75" customHeight="1">
      <c r="A26" s="359"/>
      <c r="B26" s="363"/>
      <c r="C26" s="385"/>
      <c r="D26" s="651" t="s">
        <v>146</v>
      </c>
      <c r="E26" s="652"/>
      <c r="F26" s="653"/>
      <c r="G26" s="646">
        <v>7.2499999999999995E-2</v>
      </c>
      <c r="H26" s="647"/>
      <c r="I26" s="382"/>
      <c r="J26" s="365"/>
      <c r="K26" s="359"/>
      <c r="L26" s="359"/>
    </row>
    <row r="27" spans="1:13" s="90" customFormat="1" ht="24.75" customHeight="1">
      <c r="A27" s="359"/>
      <c r="B27" s="363"/>
      <c r="C27" s="385"/>
      <c r="D27" s="651" t="s">
        <v>68</v>
      </c>
      <c r="E27" s="652"/>
      <c r="F27" s="653"/>
      <c r="G27" s="646">
        <v>2.4E-2</v>
      </c>
      <c r="H27" s="647"/>
      <c r="I27" s="382"/>
      <c r="J27" s="365"/>
      <c r="K27" s="359"/>
      <c r="L27" s="359"/>
    </row>
    <row r="28" spans="1:13" s="90" customFormat="1" ht="24.75" customHeight="1">
      <c r="A28" s="359"/>
      <c r="B28" s="363"/>
      <c r="C28" s="385"/>
      <c r="D28" s="645" t="s">
        <v>86</v>
      </c>
      <c r="E28" s="645"/>
      <c r="F28" s="645"/>
      <c r="G28" s="644">
        <v>0.01</v>
      </c>
      <c r="H28" s="644"/>
      <c r="I28" s="382"/>
      <c r="J28" s="365"/>
      <c r="K28" s="359"/>
      <c r="L28" s="359"/>
    </row>
    <row r="29" spans="1:13" s="90" customFormat="1" ht="24.75" customHeight="1">
      <c r="A29" s="359"/>
      <c r="B29" s="363"/>
      <c r="C29" s="385"/>
      <c r="D29" s="642" t="s">
        <v>25</v>
      </c>
      <c r="E29" s="642"/>
      <c r="F29" s="642"/>
      <c r="G29" s="643">
        <f>SUM(G26:H28)</f>
        <v>0.1065</v>
      </c>
      <c r="H29" s="643"/>
      <c r="I29" s="382"/>
      <c r="J29" s="365"/>
      <c r="K29" s="359"/>
      <c r="L29" s="359"/>
    </row>
    <row r="30" spans="1:13" ht="27.75" customHeight="1" thickBot="1">
      <c r="B30" s="386"/>
      <c r="C30" s="387"/>
      <c r="D30" s="387"/>
      <c r="E30" s="387"/>
      <c r="F30" s="387"/>
      <c r="G30" s="387"/>
      <c r="H30" s="387"/>
      <c r="I30" s="387"/>
      <c r="J30" s="162"/>
      <c r="K30" s="359"/>
      <c r="L30" s="359"/>
      <c r="M30" s="90"/>
    </row>
    <row r="31" spans="1:13" ht="15" customHeight="1">
      <c r="C31" s="133"/>
      <c r="D31" s="133"/>
      <c r="E31" s="133"/>
      <c r="F31" s="133"/>
      <c r="G31" s="133"/>
      <c r="H31" s="133"/>
      <c r="I31" s="133"/>
      <c r="K31" s="359"/>
      <c r="L31" s="359"/>
      <c r="M31" s="90"/>
    </row>
    <row r="32" spans="1:13" ht="15" customHeight="1">
      <c r="C32" s="133"/>
      <c r="D32" s="133"/>
      <c r="E32" s="133"/>
      <c r="F32" s="133"/>
      <c r="G32" s="133"/>
      <c r="H32" s="133"/>
      <c r="I32" s="133"/>
      <c r="K32" s="359"/>
      <c r="L32" s="359"/>
      <c r="M32" s="90"/>
    </row>
    <row r="33" spans="3:13" ht="15" customHeight="1">
      <c r="C33" s="133"/>
      <c r="D33" s="133"/>
      <c r="E33" s="133"/>
      <c r="F33" s="133"/>
      <c r="G33" s="133"/>
      <c r="H33" s="133"/>
      <c r="I33" s="133"/>
      <c r="K33" s="359"/>
      <c r="L33" s="359"/>
      <c r="M33" s="90"/>
    </row>
    <row r="34" spans="3:13">
      <c r="K34" s="359"/>
      <c r="L34" s="359"/>
      <c r="M34" s="90"/>
    </row>
  </sheetData>
  <mergeCells count="32">
    <mergeCell ref="D21:I21"/>
    <mergeCell ref="G25:H25"/>
    <mergeCell ref="D29:F29"/>
    <mergeCell ref="G29:H29"/>
    <mergeCell ref="G28:H28"/>
    <mergeCell ref="D28:F28"/>
    <mergeCell ref="G27:H27"/>
    <mergeCell ref="G26:H26"/>
    <mergeCell ref="D24:H24"/>
    <mergeCell ref="D25:F25"/>
    <mergeCell ref="D26:F26"/>
    <mergeCell ref="D27:F27"/>
    <mergeCell ref="D20:E20"/>
    <mergeCell ref="D19:E19"/>
    <mergeCell ref="F19:G19"/>
    <mergeCell ref="H19:I19"/>
    <mergeCell ref="F20:G20"/>
    <mergeCell ref="H20:I20"/>
    <mergeCell ref="B3:I3"/>
    <mergeCell ref="B4:I4"/>
    <mergeCell ref="D18:E18"/>
    <mergeCell ref="H6:I6"/>
    <mergeCell ref="I8:J8"/>
    <mergeCell ref="H7:I7"/>
    <mergeCell ref="F18:G18"/>
    <mergeCell ref="H18:I18"/>
    <mergeCell ref="I9:J9"/>
    <mergeCell ref="D12:H12"/>
    <mergeCell ref="C17:I17"/>
    <mergeCell ref="D11:H11"/>
    <mergeCell ref="D15:H15"/>
    <mergeCell ref="D13:H1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Лист14"/>
  <dimension ref="A2:C37"/>
  <sheetViews>
    <sheetView workbookViewId="0">
      <selection activeCell="L21" sqref="L21"/>
    </sheetView>
  </sheetViews>
  <sheetFormatPr defaultRowHeight="15"/>
  <cols>
    <col min="2" max="2" width="10.140625" bestFit="1" customWidth="1"/>
  </cols>
  <sheetData>
    <row r="2" spans="1:3">
      <c r="A2">
        <v>1</v>
      </c>
      <c r="B2" s="402">
        <v>42736</v>
      </c>
      <c r="C2" s="403">
        <v>1</v>
      </c>
    </row>
    <row r="3" spans="1:3">
      <c r="A3">
        <v>2</v>
      </c>
      <c r="B3" s="402">
        <v>42767</v>
      </c>
      <c r="C3" s="403">
        <v>1</v>
      </c>
    </row>
    <row r="4" spans="1:3">
      <c r="A4">
        <v>3</v>
      </c>
      <c r="B4" s="402">
        <v>42795</v>
      </c>
      <c r="C4" s="403">
        <v>1</v>
      </c>
    </row>
    <row r="5" spans="1:3">
      <c r="A5">
        <v>4</v>
      </c>
      <c r="B5" s="402">
        <v>42826</v>
      </c>
      <c r="C5" s="403">
        <v>1</v>
      </c>
    </row>
    <row r="6" spans="1:3">
      <c r="A6">
        <v>5</v>
      </c>
      <c r="B6" s="402">
        <v>42856</v>
      </c>
      <c r="C6" s="403">
        <v>1</v>
      </c>
    </row>
    <row r="7" spans="1:3">
      <c r="A7">
        <v>6</v>
      </c>
      <c r="B7" s="402">
        <v>42887</v>
      </c>
      <c r="C7" s="403">
        <v>1</v>
      </c>
    </row>
    <row r="8" spans="1:3">
      <c r="A8">
        <v>7</v>
      </c>
      <c r="B8" s="402">
        <v>42917</v>
      </c>
      <c r="C8" s="403">
        <v>1</v>
      </c>
    </row>
    <row r="9" spans="1:3">
      <c r="A9">
        <v>8</v>
      </c>
      <c r="B9" s="402">
        <v>42948</v>
      </c>
      <c r="C9" s="403">
        <v>1</v>
      </c>
    </row>
    <row r="10" spans="1:3">
      <c r="A10">
        <v>9</v>
      </c>
      <c r="B10" s="402">
        <v>42979</v>
      </c>
      <c r="C10" s="403">
        <v>1</v>
      </c>
    </row>
    <row r="11" spans="1:3">
      <c r="A11">
        <v>10</v>
      </c>
      <c r="B11" s="402">
        <v>43009</v>
      </c>
      <c r="C11" s="403">
        <v>1</v>
      </c>
    </row>
    <row r="12" spans="1:3">
      <c r="A12">
        <v>11</v>
      </c>
      <c r="B12" s="402">
        <v>43040</v>
      </c>
      <c r="C12" s="403">
        <v>1</v>
      </c>
    </row>
    <row r="13" spans="1:3">
      <c r="A13">
        <v>12</v>
      </c>
      <c r="B13" s="402">
        <v>43070</v>
      </c>
      <c r="C13" s="403">
        <v>1</v>
      </c>
    </row>
    <row r="14" spans="1:3">
      <c r="B14" s="404"/>
      <c r="C14" s="403"/>
    </row>
    <row r="15" spans="1:3">
      <c r="B15" s="404"/>
      <c r="C15" s="403"/>
    </row>
    <row r="16" spans="1:3">
      <c r="B16" s="404"/>
      <c r="C16" s="403"/>
    </row>
    <row r="17" spans="2:3">
      <c r="B17" s="404"/>
      <c r="C17" s="403"/>
    </row>
    <row r="18" spans="2:3">
      <c r="B18" s="404"/>
      <c r="C18" s="403"/>
    </row>
    <row r="19" spans="2:3">
      <c r="B19" s="404"/>
      <c r="C19" s="403"/>
    </row>
    <row r="20" spans="2:3">
      <c r="B20" s="404"/>
      <c r="C20" s="403"/>
    </row>
    <row r="21" spans="2:3">
      <c r="B21" s="404"/>
      <c r="C21" s="403"/>
    </row>
    <row r="22" spans="2:3">
      <c r="B22" s="404"/>
      <c r="C22" s="403"/>
    </row>
    <row r="23" spans="2:3">
      <c r="B23" s="404"/>
      <c r="C23" s="403"/>
    </row>
    <row r="24" spans="2:3">
      <c r="B24" s="404"/>
      <c r="C24" s="403"/>
    </row>
    <row r="25" spans="2:3">
      <c r="B25" s="404"/>
      <c r="C25" s="403"/>
    </row>
    <row r="26" spans="2:3">
      <c r="B26" s="404"/>
      <c r="C26" s="403"/>
    </row>
    <row r="27" spans="2:3">
      <c r="B27" s="404"/>
      <c r="C27" s="403"/>
    </row>
    <row r="28" spans="2:3">
      <c r="B28" s="404"/>
      <c r="C28" s="403"/>
    </row>
    <row r="29" spans="2:3">
      <c r="B29" s="404"/>
      <c r="C29" s="403"/>
    </row>
    <row r="30" spans="2:3">
      <c r="B30" s="404"/>
      <c r="C30" s="403"/>
    </row>
    <row r="31" spans="2:3">
      <c r="B31" s="404"/>
      <c r="C31" s="403"/>
    </row>
    <row r="32" spans="2:3">
      <c r="B32" s="404"/>
      <c r="C32" s="403"/>
    </row>
    <row r="33" spans="2:3">
      <c r="B33" s="404"/>
      <c r="C33" s="403"/>
    </row>
    <row r="34" spans="2:3">
      <c r="B34" s="404"/>
      <c r="C34" s="403"/>
    </row>
    <row r="35" spans="2:3">
      <c r="B35" s="404"/>
      <c r="C35" s="403"/>
    </row>
    <row r="36" spans="2:3">
      <c r="B36" s="404"/>
      <c r="C36" s="403"/>
    </row>
    <row r="37" spans="2:3">
      <c r="B37" s="404"/>
      <c r="C37" s="403"/>
    </row>
  </sheetData>
  <sheetProtection sheet="1" objects="1" scenarios="1" selectLockedCells="1" selectUnlockedCell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codeName="Лист12"/>
  <dimension ref="A1:Z704"/>
  <sheetViews>
    <sheetView workbookViewId="0">
      <selection activeCell="D5" sqref="D5:G5"/>
    </sheetView>
  </sheetViews>
  <sheetFormatPr defaultColWidth="9.140625" defaultRowHeight="15"/>
  <cols>
    <col min="1" max="1" width="15.140625" style="8" bestFit="1" customWidth="1"/>
    <col min="2" max="2" width="17.140625" style="8" hidden="1" customWidth="1"/>
    <col min="3" max="3" width="15.7109375" style="8" hidden="1" customWidth="1"/>
    <col min="4" max="25" width="14.85546875" style="8" customWidth="1"/>
    <col min="26" max="26" width="15.140625" style="8" customWidth="1"/>
    <col min="27" max="16384" width="9.140625" style="8"/>
  </cols>
  <sheetData>
    <row r="1" spans="1:26">
      <c r="A1" s="659" t="s">
        <v>31</v>
      </c>
      <c r="B1" s="660"/>
      <c r="C1" s="661"/>
      <c r="D1" s="13">
        <f>'Входящие данные'!E27</f>
        <v>0</v>
      </c>
      <c r="E1" s="14"/>
      <c r="F1" s="15"/>
      <c r="G1" s="16"/>
      <c r="H1" s="17"/>
      <c r="I1" s="17"/>
      <c r="J1" s="17"/>
      <c r="K1" s="17"/>
      <c r="L1" s="17"/>
      <c r="M1" s="17"/>
      <c r="N1" s="18"/>
      <c r="O1" s="19"/>
      <c r="P1" s="20"/>
      <c r="Q1" s="21"/>
      <c r="R1" s="21"/>
      <c r="S1" s="21"/>
      <c r="T1" s="21"/>
      <c r="U1" s="21"/>
      <c r="V1" s="21"/>
      <c r="W1" s="21"/>
      <c r="X1" s="21"/>
      <c r="Y1" s="21"/>
      <c r="Z1" s="21"/>
    </row>
    <row r="2" spans="1:26">
      <c r="A2" s="662" t="s">
        <v>32</v>
      </c>
      <c r="B2" s="663"/>
      <c r="C2" s="664"/>
      <c r="D2" s="11">
        <f>'Входящие данные'!E28</f>
        <v>18</v>
      </c>
      <c r="E2" s="14"/>
      <c r="F2" s="22"/>
      <c r="G2" s="22"/>
      <c r="H2" s="23"/>
      <c r="I2" s="22"/>
      <c r="J2" s="22"/>
      <c r="K2" s="24"/>
      <c r="L2" s="22"/>
      <c r="M2" s="22"/>
      <c r="N2" s="18"/>
      <c r="O2" s="19"/>
      <c r="P2" s="20"/>
      <c r="Q2" s="21"/>
      <c r="R2" s="21"/>
      <c r="S2" s="21"/>
      <c r="T2" s="21"/>
      <c r="U2" s="21"/>
      <c r="V2" s="21"/>
      <c r="W2" s="21"/>
      <c r="X2" s="21"/>
      <c r="Y2" s="21"/>
      <c r="Z2" s="21"/>
    </row>
    <row r="3" spans="1:26" ht="15.75" thickBot="1">
      <c r="A3" s="665" t="s">
        <v>33</v>
      </c>
      <c r="B3" s="666"/>
      <c r="C3" s="667"/>
      <c r="D3" s="25">
        <f>IF('Входящие данные'!E29&gt;0,'Входящие данные'!E29,1)</f>
        <v>10</v>
      </c>
      <c r="E3" s="14"/>
      <c r="F3" s="26"/>
      <c r="G3" s="26"/>
      <c r="H3" s="22"/>
      <c r="I3" s="26"/>
      <c r="J3" s="26"/>
      <c r="K3" s="26"/>
      <c r="L3" s="26"/>
      <c r="M3" s="26"/>
      <c r="N3" s="18"/>
      <c r="O3" s="19"/>
      <c r="P3" s="20"/>
      <c r="Q3" s="7">
        <f>Прибыль_окупаемость!S18</f>
        <v>43260</v>
      </c>
      <c r="R3" s="7">
        <f>Прибыль_окупаемость!T18</f>
        <v>43291</v>
      </c>
      <c r="S3" s="7">
        <f>Прибыль_окупаемость!U18</f>
        <v>43322</v>
      </c>
      <c r="T3" s="7">
        <f>Прибыль_окупаемость!V18</f>
        <v>43353</v>
      </c>
      <c r="U3" s="7">
        <f>Прибыль_окупаемость!W18</f>
        <v>43384</v>
      </c>
      <c r="V3" s="7">
        <f>Прибыль_окупаемость!X18</f>
        <v>43415</v>
      </c>
      <c r="W3" s="7">
        <f>Прибыль_окупаемость!Y18</f>
        <v>43446</v>
      </c>
      <c r="X3" s="7">
        <f>Прибыль_окупаемость!Z18</f>
        <v>43477</v>
      </c>
      <c r="Y3" s="7">
        <f>Прибыль_окупаемость!AA18</f>
        <v>43508</v>
      </c>
      <c r="Z3" s="7" t="e">
        <f>Прибыль_окупаемость!#REF!</f>
        <v>#REF!</v>
      </c>
    </row>
    <row r="4" spans="1:26" ht="15.75" hidden="1" thickBot="1">
      <c r="A4" s="665" t="s">
        <v>34</v>
      </c>
      <c r="B4" s="666"/>
      <c r="C4" s="667"/>
      <c r="D4" s="27">
        <v>41192</v>
      </c>
      <c r="E4" s="14"/>
      <c r="F4" s="26"/>
      <c r="G4" s="26"/>
      <c r="H4" s="26"/>
      <c r="I4" s="26"/>
      <c r="J4" s="28"/>
      <c r="K4" s="26"/>
      <c r="L4" s="26"/>
      <c r="M4" s="26"/>
      <c r="N4" s="18"/>
      <c r="O4" s="19"/>
      <c r="P4" s="20"/>
      <c r="Q4" s="7">
        <v>15</v>
      </c>
      <c r="R4" s="7">
        <v>16</v>
      </c>
      <c r="S4" s="7">
        <v>17</v>
      </c>
      <c r="T4" s="7">
        <v>18</v>
      </c>
      <c r="U4" s="7">
        <v>19</v>
      </c>
      <c r="V4" s="7">
        <v>20</v>
      </c>
      <c r="W4" s="7">
        <v>21</v>
      </c>
      <c r="X4" s="7">
        <v>22</v>
      </c>
      <c r="Y4" s="7">
        <v>23</v>
      </c>
      <c r="Z4" s="7">
        <v>24</v>
      </c>
    </row>
    <row r="5" spans="1:26">
      <c r="A5" s="668" t="s">
        <v>35</v>
      </c>
      <c r="B5" s="670" t="s">
        <v>36</v>
      </c>
      <c r="C5" s="672" t="s">
        <v>37</v>
      </c>
      <c r="D5" s="654" t="s">
        <v>38</v>
      </c>
      <c r="E5" s="655"/>
      <c r="F5" s="655"/>
      <c r="G5" s="656"/>
      <c r="H5" s="654" t="s">
        <v>39</v>
      </c>
      <c r="I5" s="655"/>
      <c r="J5" s="655"/>
      <c r="K5" s="655"/>
      <c r="L5" s="657" t="s">
        <v>40</v>
      </c>
      <c r="M5" s="658"/>
      <c r="N5" s="18"/>
      <c r="O5" s="19"/>
      <c r="P5" s="20"/>
      <c r="Q5" s="9">
        <f t="shared" ref="Q5:Z5" si="0">P5</f>
        <v>0</v>
      </c>
      <c r="R5" s="9">
        <f t="shared" si="0"/>
        <v>0</v>
      </c>
      <c r="S5" s="9">
        <f t="shared" si="0"/>
        <v>0</v>
      </c>
      <c r="T5" s="9">
        <f t="shared" si="0"/>
        <v>0</v>
      </c>
      <c r="U5" s="9">
        <f t="shared" si="0"/>
        <v>0</v>
      </c>
      <c r="V5" s="9">
        <f t="shared" si="0"/>
        <v>0</v>
      </c>
      <c r="W5" s="9">
        <f t="shared" si="0"/>
        <v>0</v>
      </c>
      <c r="X5" s="9">
        <f t="shared" si="0"/>
        <v>0</v>
      </c>
      <c r="Y5" s="9">
        <f t="shared" si="0"/>
        <v>0</v>
      </c>
      <c r="Z5" s="9">
        <f t="shared" si="0"/>
        <v>0</v>
      </c>
    </row>
    <row r="6" spans="1:26" ht="30.75" thickBot="1">
      <c r="A6" s="669"/>
      <c r="B6" s="671"/>
      <c r="C6" s="673"/>
      <c r="D6" s="29" t="s">
        <v>41</v>
      </c>
      <c r="E6" s="30" t="s">
        <v>42</v>
      </c>
      <c r="F6" s="30" t="s">
        <v>43</v>
      </c>
      <c r="G6" s="31" t="s">
        <v>44</v>
      </c>
      <c r="H6" s="29" t="s">
        <v>41</v>
      </c>
      <c r="I6" s="30" t="s">
        <v>42</v>
      </c>
      <c r="J6" s="30" t="s">
        <v>43</v>
      </c>
      <c r="K6" s="32" t="s">
        <v>44</v>
      </c>
      <c r="L6" s="29" t="s">
        <v>45</v>
      </c>
      <c r="M6" s="31" t="s">
        <v>46</v>
      </c>
      <c r="N6" s="18"/>
      <c r="O6" s="19"/>
      <c r="P6" s="20"/>
      <c r="Q6" s="10">
        <f t="shared" ref="Q6:Z6" si="1">(1+$B$6)^Q4</f>
        <v>1</v>
      </c>
      <c r="R6" s="10">
        <f t="shared" si="1"/>
        <v>1</v>
      </c>
      <c r="S6" s="10">
        <f t="shared" si="1"/>
        <v>1</v>
      </c>
      <c r="T6" s="10">
        <f t="shared" si="1"/>
        <v>1</v>
      </c>
      <c r="U6" s="10">
        <f t="shared" si="1"/>
        <v>1</v>
      </c>
      <c r="V6" s="10">
        <f t="shared" si="1"/>
        <v>1</v>
      </c>
      <c r="W6" s="10">
        <f t="shared" si="1"/>
        <v>1</v>
      </c>
      <c r="X6" s="10">
        <f t="shared" si="1"/>
        <v>1</v>
      </c>
      <c r="Y6" s="10">
        <f t="shared" si="1"/>
        <v>1</v>
      </c>
      <c r="Z6" s="10">
        <f t="shared" si="1"/>
        <v>1</v>
      </c>
    </row>
    <row r="7" spans="1:26" ht="15.75" thickBot="1">
      <c r="A7" s="33" t="s">
        <v>47</v>
      </c>
      <c r="B7" s="34"/>
      <c r="C7" s="35">
        <f>$D$4</f>
        <v>41192</v>
      </c>
      <c r="D7" s="36">
        <f>E7+F7</f>
        <v>0</v>
      </c>
      <c r="E7" s="37">
        <f>SUM(E8:E65536)+SUM(L8:M65536)</f>
        <v>0</v>
      </c>
      <c r="F7" s="38">
        <f>SUM(F8:F65536)</f>
        <v>0</v>
      </c>
      <c r="G7" s="39">
        <f>$D$1</f>
        <v>0</v>
      </c>
      <c r="H7" s="40">
        <f>I7+J7</f>
        <v>0</v>
      </c>
      <c r="I7" s="37">
        <f>SUM(I8:I65536)+SUM(L8:M65536)</f>
        <v>0</v>
      </c>
      <c r="J7" s="38">
        <f>SUM(J8:J65536)</f>
        <v>0</v>
      </c>
      <c r="K7" s="41">
        <f>$D$1</f>
        <v>0</v>
      </c>
      <c r="L7" s="36"/>
      <c r="M7" s="42"/>
      <c r="N7" s="18">
        <f>ROW(N7)</f>
        <v>7</v>
      </c>
      <c r="O7" s="19"/>
      <c r="P7" s="20"/>
      <c r="Q7" s="9">
        <f t="shared" ref="Q7:Z7" si="2">Q5/Q6</f>
        <v>0</v>
      </c>
      <c r="R7" s="9">
        <f t="shared" si="2"/>
        <v>0</v>
      </c>
      <c r="S7" s="9">
        <f t="shared" si="2"/>
        <v>0</v>
      </c>
      <c r="T7" s="9">
        <f t="shared" si="2"/>
        <v>0</v>
      </c>
      <c r="U7" s="9">
        <f t="shared" si="2"/>
        <v>0</v>
      </c>
      <c r="V7" s="9">
        <f t="shared" si="2"/>
        <v>0</v>
      </c>
      <c r="W7" s="9">
        <f t="shared" si="2"/>
        <v>0</v>
      </c>
      <c r="X7" s="9">
        <f t="shared" si="2"/>
        <v>0</v>
      </c>
      <c r="Y7" s="9">
        <f t="shared" si="2"/>
        <v>0</v>
      </c>
      <c r="Z7" s="9">
        <f t="shared" si="2"/>
        <v>0</v>
      </c>
    </row>
    <row r="8" spans="1:26">
      <c r="A8" s="43">
        <v>1</v>
      </c>
      <c r="B8" s="44" t="str">
        <f>CONCATENATE(INT((A8-1)/12)+1,"-й год ",A8-1-INT((A8-1)/12)*12+1,"-й мес")</f>
        <v>1-й год 1-й мес</v>
      </c>
      <c r="C8" s="45">
        <f>DATE(YEAR(C7),MONTH(C7)+1,DAY(C7))</f>
        <v>41223</v>
      </c>
      <c r="D8" s="46">
        <f t="shared" ref="D8:D71" si="3">IF(P8*$D$2/100/12/(1-(1+$D$2/100/12)^(-O8))&lt;G7,ROUNDUP(P8*$D$2/100/12/(1-(1+$D$2/100/12)^(-O8)),0),G7+F8)</f>
        <v>0</v>
      </c>
      <c r="E8" s="47">
        <f>D8-F8</f>
        <v>0</v>
      </c>
      <c r="F8" s="47">
        <f>$D$1*$D$2*(C8-C7)/(DATE(YEAR(C8)+1,1,1)-DATE(YEAR(C8),1,1))/100</f>
        <v>0</v>
      </c>
      <c r="G8" s="48">
        <f>G7-E8-L8-M8</f>
        <v>0</v>
      </c>
      <c r="H8" s="49">
        <f t="shared" ref="H8:H71" si="4">I8+J8</f>
        <v>0</v>
      </c>
      <c r="I8" s="47">
        <f>IF($D$1/$D$3&lt;K7,$D$1/$D$3,K7)</f>
        <v>0</v>
      </c>
      <c r="J8" s="47">
        <f>K7*$D$2/12/100</f>
        <v>0</v>
      </c>
      <c r="K8" s="50">
        <f>K7-I8-L8-M8</f>
        <v>0</v>
      </c>
      <c r="L8" s="11"/>
      <c r="M8" s="11"/>
      <c r="N8" s="51">
        <f t="shared" ref="N8:N71" si="5">IF(ISBLANK(L7),VALUE(N7),ROW(L7))</f>
        <v>7</v>
      </c>
      <c r="O8" s="19">
        <f>$D$3</f>
        <v>10</v>
      </c>
      <c r="P8" s="20">
        <f t="shared" ref="P8:P71" si="6">INDEX(G:G,N8,1)</f>
        <v>0</v>
      </c>
      <c r="Q8" s="21"/>
      <c r="R8" s="21"/>
      <c r="S8" s="21"/>
      <c r="T8" s="21"/>
      <c r="U8" s="21"/>
      <c r="V8" s="21"/>
      <c r="W8" s="21"/>
      <c r="X8" s="21"/>
      <c r="Y8" s="21"/>
      <c r="Z8" s="21"/>
    </row>
    <row r="9" spans="1:26">
      <c r="A9" s="43">
        <v>2</v>
      </c>
      <c r="B9" s="44" t="str">
        <f t="shared" ref="B9:B72" si="7">CONCATENATE(INT((A9-1)/12)+1,"-й год ",A9-1-INT((A9-1)/12)*12+1,"-й мес")</f>
        <v>1-й год 2-й мес</v>
      </c>
      <c r="C9" s="45">
        <f>DATE(YEAR(C8),MONTH(C8)+1,DAY(C8))</f>
        <v>41253</v>
      </c>
      <c r="D9" s="46">
        <f t="shared" si="3"/>
        <v>0</v>
      </c>
      <c r="E9" s="47">
        <f t="shared" ref="E9:E72" si="8">D9-F9</f>
        <v>0</v>
      </c>
      <c r="F9" s="47">
        <f>G8*$D$2*(C9-C8)/(DATE(YEAR(C9)+1,1,1)-DATE(YEAR(C9),1,1))/100</f>
        <v>0</v>
      </c>
      <c r="G9" s="48">
        <f t="shared" ref="G9:G72" si="9">G8-E9-L9-M9</f>
        <v>0</v>
      </c>
      <c r="H9" s="49">
        <f t="shared" si="4"/>
        <v>0</v>
      </c>
      <c r="I9" s="47">
        <f>IF($D$1/$D$3&lt;K8,$D$1/$D$3,K8)</f>
        <v>0</v>
      </c>
      <c r="J9" s="47">
        <f t="shared" ref="J9:J72" si="10">K8*$D$2/12/100</f>
        <v>0</v>
      </c>
      <c r="K9" s="50">
        <f t="shared" ref="K9:K72" si="11">K8-I9-L9-M9</f>
        <v>0</v>
      </c>
      <c r="L9" s="11"/>
      <c r="M9" s="11"/>
      <c r="N9" s="51">
        <f t="shared" si="5"/>
        <v>7</v>
      </c>
      <c r="O9" s="19">
        <f t="shared" ref="O9:O72" si="12">O8+N8-N9</f>
        <v>10</v>
      </c>
      <c r="P9" s="20">
        <f t="shared" si="6"/>
        <v>0</v>
      </c>
      <c r="Q9" s="21"/>
      <c r="R9" s="21"/>
      <c r="S9" s="21"/>
      <c r="T9" s="21"/>
      <c r="U9" s="21"/>
      <c r="V9" s="21"/>
      <c r="W9" s="21"/>
      <c r="X9" s="21"/>
      <c r="Y9" s="21"/>
      <c r="Z9" s="21"/>
    </row>
    <row r="10" spans="1:26">
      <c r="A10" s="43">
        <v>3</v>
      </c>
      <c r="B10" s="44" t="str">
        <f t="shared" si="7"/>
        <v>1-й год 3-й мес</v>
      </c>
      <c r="C10" s="45">
        <f t="shared" ref="C10:C73" si="13">DATE(YEAR(C9),MONTH(C9)+1,DAY(C9))</f>
        <v>41284</v>
      </c>
      <c r="D10" s="46">
        <f t="shared" si="3"/>
        <v>0</v>
      </c>
      <c r="E10" s="47">
        <f t="shared" si="8"/>
        <v>0</v>
      </c>
      <c r="F10" s="47">
        <f t="shared" ref="F10:F73" si="14">G9*$D$2*(C10-C9)/(DATE(YEAR(C10)+1,1,1)-DATE(YEAR(C10),1,1))/100</f>
        <v>0</v>
      </c>
      <c r="G10" s="48">
        <f t="shared" si="9"/>
        <v>0</v>
      </c>
      <c r="H10" s="49">
        <f t="shared" si="4"/>
        <v>0</v>
      </c>
      <c r="I10" s="47">
        <f t="shared" ref="I10:I73" si="15">IF($D$1/$D$3&lt;K9,$D$1/$D$3,K9)</f>
        <v>0</v>
      </c>
      <c r="J10" s="47">
        <f t="shared" si="10"/>
        <v>0</v>
      </c>
      <c r="K10" s="50">
        <f t="shared" si="11"/>
        <v>0</v>
      </c>
      <c r="L10" s="11"/>
      <c r="M10" s="11"/>
      <c r="N10" s="51">
        <f t="shared" si="5"/>
        <v>7</v>
      </c>
      <c r="O10" s="19">
        <f t="shared" si="12"/>
        <v>10</v>
      </c>
      <c r="P10" s="20">
        <f t="shared" si="6"/>
        <v>0</v>
      </c>
      <c r="Q10" s="21"/>
      <c r="R10" s="21"/>
      <c r="S10" s="21"/>
      <c r="T10" s="21"/>
      <c r="U10" s="21"/>
      <c r="V10" s="21"/>
      <c r="W10" s="21"/>
      <c r="X10" s="21"/>
      <c r="Y10" s="21"/>
      <c r="Z10" s="21"/>
    </row>
    <row r="11" spans="1:26">
      <c r="A11" s="43">
        <v>4</v>
      </c>
      <c r="B11" s="44" t="str">
        <f t="shared" si="7"/>
        <v>1-й год 4-й мес</v>
      </c>
      <c r="C11" s="45">
        <f t="shared" si="13"/>
        <v>41315</v>
      </c>
      <c r="D11" s="46">
        <f t="shared" si="3"/>
        <v>0</v>
      </c>
      <c r="E11" s="47">
        <f t="shared" si="8"/>
        <v>0</v>
      </c>
      <c r="F11" s="47">
        <f t="shared" si="14"/>
        <v>0</v>
      </c>
      <c r="G11" s="48">
        <f t="shared" si="9"/>
        <v>0</v>
      </c>
      <c r="H11" s="49">
        <f t="shared" si="4"/>
        <v>0</v>
      </c>
      <c r="I11" s="47">
        <f t="shared" si="15"/>
        <v>0</v>
      </c>
      <c r="J11" s="47">
        <f t="shared" si="10"/>
        <v>0</v>
      </c>
      <c r="K11" s="50">
        <f t="shared" si="11"/>
        <v>0</v>
      </c>
      <c r="L11" s="11"/>
      <c r="M11" s="11"/>
      <c r="N11" s="51">
        <f t="shared" si="5"/>
        <v>7</v>
      </c>
      <c r="O11" s="19">
        <f t="shared" si="12"/>
        <v>10</v>
      </c>
      <c r="P11" s="20">
        <f t="shared" si="6"/>
        <v>0</v>
      </c>
      <c r="Q11" s="21"/>
      <c r="R11" s="21"/>
      <c r="S11" s="21"/>
      <c r="T11" s="21"/>
      <c r="U11" s="21"/>
      <c r="V11" s="21"/>
      <c r="W11" s="21"/>
      <c r="X11" s="21"/>
      <c r="Y11" s="21"/>
      <c r="Z11" s="21"/>
    </row>
    <row r="12" spans="1:26">
      <c r="A12" s="43">
        <v>5</v>
      </c>
      <c r="B12" s="44" t="str">
        <f t="shared" si="7"/>
        <v>1-й год 5-й мес</v>
      </c>
      <c r="C12" s="45">
        <f t="shared" si="13"/>
        <v>41343</v>
      </c>
      <c r="D12" s="46">
        <f t="shared" si="3"/>
        <v>0</v>
      </c>
      <c r="E12" s="47">
        <f t="shared" si="8"/>
        <v>0</v>
      </c>
      <c r="F12" s="47">
        <f t="shared" si="14"/>
        <v>0</v>
      </c>
      <c r="G12" s="48">
        <f>G11-E12-L12-M12</f>
        <v>0</v>
      </c>
      <c r="H12" s="49">
        <f t="shared" si="4"/>
        <v>0</v>
      </c>
      <c r="I12" s="47">
        <f t="shared" si="15"/>
        <v>0</v>
      </c>
      <c r="J12" s="47">
        <f t="shared" si="10"/>
        <v>0</v>
      </c>
      <c r="K12" s="50">
        <f>K11-I12-L12-M12</f>
        <v>0</v>
      </c>
      <c r="L12" s="11"/>
      <c r="M12" s="11"/>
      <c r="N12" s="51">
        <f t="shared" si="5"/>
        <v>7</v>
      </c>
      <c r="O12" s="19">
        <f t="shared" si="12"/>
        <v>10</v>
      </c>
      <c r="P12" s="20">
        <f t="shared" si="6"/>
        <v>0</v>
      </c>
      <c r="Q12" s="21"/>
      <c r="R12" s="21"/>
      <c r="S12" s="21"/>
      <c r="T12" s="21"/>
      <c r="U12" s="21"/>
      <c r="V12" s="21"/>
      <c r="W12" s="21"/>
      <c r="X12" s="21"/>
      <c r="Y12" s="21"/>
      <c r="Z12" s="21"/>
    </row>
    <row r="13" spans="1:26">
      <c r="A13" s="43">
        <v>6</v>
      </c>
      <c r="B13" s="44" t="str">
        <f t="shared" si="7"/>
        <v>1-й год 6-й мес</v>
      </c>
      <c r="C13" s="45">
        <f t="shared" si="13"/>
        <v>41374</v>
      </c>
      <c r="D13" s="46">
        <f t="shared" si="3"/>
        <v>0</v>
      </c>
      <c r="E13" s="47">
        <f t="shared" si="8"/>
        <v>0</v>
      </c>
      <c r="F13" s="47">
        <f t="shared" si="14"/>
        <v>0</v>
      </c>
      <c r="G13" s="48">
        <f>G12-E13-L13-M13</f>
        <v>0</v>
      </c>
      <c r="H13" s="49">
        <f t="shared" si="4"/>
        <v>0</v>
      </c>
      <c r="I13" s="47">
        <f t="shared" si="15"/>
        <v>0</v>
      </c>
      <c r="J13" s="47">
        <f t="shared" si="10"/>
        <v>0</v>
      </c>
      <c r="K13" s="50">
        <f>K12-I13-L13-M13</f>
        <v>0</v>
      </c>
      <c r="L13" s="11"/>
      <c r="M13" s="11"/>
      <c r="N13" s="51">
        <f t="shared" si="5"/>
        <v>7</v>
      </c>
      <c r="O13" s="19">
        <f t="shared" si="12"/>
        <v>10</v>
      </c>
      <c r="P13" s="20">
        <f t="shared" si="6"/>
        <v>0</v>
      </c>
      <c r="Q13" s="21"/>
      <c r="R13" s="21"/>
      <c r="S13" s="21"/>
      <c r="T13" s="21"/>
      <c r="U13" s="21"/>
      <c r="V13" s="21"/>
      <c r="W13" s="21"/>
      <c r="X13" s="21"/>
      <c r="Y13" s="21"/>
      <c r="Z13" s="21"/>
    </row>
    <row r="14" spans="1:26">
      <c r="A14" s="43">
        <v>7</v>
      </c>
      <c r="B14" s="44" t="str">
        <f t="shared" si="7"/>
        <v>1-й год 7-й мес</v>
      </c>
      <c r="C14" s="45">
        <f t="shared" si="13"/>
        <v>41404</v>
      </c>
      <c r="D14" s="46">
        <f t="shared" si="3"/>
        <v>0</v>
      </c>
      <c r="E14" s="47">
        <f t="shared" si="8"/>
        <v>0</v>
      </c>
      <c r="F14" s="47">
        <f t="shared" si="14"/>
        <v>0</v>
      </c>
      <c r="G14" s="48">
        <f t="shared" si="9"/>
        <v>0</v>
      </c>
      <c r="H14" s="49">
        <f t="shared" si="4"/>
        <v>0</v>
      </c>
      <c r="I14" s="47">
        <f t="shared" si="15"/>
        <v>0</v>
      </c>
      <c r="J14" s="47">
        <f t="shared" si="10"/>
        <v>0</v>
      </c>
      <c r="K14" s="50">
        <f t="shared" si="11"/>
        <v>0</v>
      </c>
      <c r="L14" s="11"/>
      <c r="M14" s="11"/>
      <c r="N14" s="51">
        <f t="shared" si="5"/>
        <v>7</v>
      </c>
      <c r="O14" s="19">
        <f t="shared" si="12"/>
        <v>10</v>
      </c>
      <c r="P14" s="20">
        <f t="shared" si="6"/>
        <v>0</v>
      </c>
      <c r="Q14" s="21"/>
      <c r="R14" s="21"/>
      <c r="S14" s="21"/>
      <c r="T14" s="21"/>
      <c r="U14" s="21"/>
      <c r="V14" s="21"/>
      <c r="W14" s="21"/>
      <c r="X14" s="21"/>
      <c r="Y14" s="21"/>
      <c r="Z14" s="21"/>
    </row>
    <row r="15" spans="1:26">
      <c r="A15" s="43">
        <v>8</v>
      </c>
      <c r="B15" s="44" t="str">
        <f t="shared" si="7"/>
        <v>1-й год 8-й мес</v>
      </c>
      <c r="C15" s="45">
        <f t="shared" si="13"/>
        <v>41435</v>
      </c>
      <c r="D15" s="46">
        <f t="shared" si="3"/>
        <v>0</v>
      </c>
      <c r="E15" s="47">
        <f t="shared" si="8"/>
        <v>0</v>
      </c>
      <c r="F15" s="47">
        <f t="shared" si="14"/>
        <v>0</v>
      </c>
      <c r="G15" s="48">
        <f t="shared" si="9"/>
        <v>0</v>
      </c>
      <c r="H15" s="49">
        <f t="shared" si="4"/>
        <v>0</v>
      </c>
      <c r="I15" s="47">
        <f t="shared" si="15"/>
        <v>0</v>
      </c>
      <c r="J15" s="47">
        <f t="shared" si="10"/>
        <v>0</v>
      </c>
      <c r="K15" s="50">
        <f t="shared" si="11"/>
        <v>0</v>
      </c>
      <c r="L15" s="11"/>
      <c r="M15" s="11"/>
      <c r="N15" s="51">
        <f t="shared" si="5"/>
        <v>7</v>
      </c>
      <c r="O15" s="19">
        <f t="shared" si="12"/>
        <v>10</v>
      </c>
      <c r="P15" s="20">
        <f t="shared" si="6"/>
        <v>0</v>
      </c>
      <c r="Q15" s="21"/>
      <c r="R15" s="21"/>
      <c r="S15" s="21"/>
      <c r="T15" s="21"/>
      <c r="U15" s="21"/>
      <c r="V15" s="21"/>
      <c r="W15" s="21"/>
      <c r="X15" s="21"/>
      <c r="Y15" s="21"/>
      <c r="Z15" s="21"/>
    </row>
    <row r="16" spans="1:26">
      <c r="A16" s="43">
        <v>9</v>
      </c>
      <c r="B16" s="44" t="str">
        <f t="shared" si="7"/>
        <v>1-й год 9-й мес</v>
      </c>
      <c r="C16" s="45">
        <f t="shared" si="13"/>
        <v>41465</v>
      </c>
      <c r="D16" s="46">
        <f t="shared" si="3"/>
        <v>0</v>
      </c>
      <c r="E16" s="47">
        <f t="shared" si="8"/>
        <v>0</v>
      </c>
      <c r="F16" s="47">
        <f t="shared" si="14"/>
        <v>0</v>
      </c>
      <c r="G16" s="48">
        <f t="shared" si="9"/>
        <v>0</v>
      </c>
      <c r="H16" s="49">
        <f t="shared" si="4"/>
        <v>0</v>
      </c>
      <c r="I16" s="47">
        <f t="shared" si="15"/>
        <v>0</v>
      </c>
      <c r="J16" s="47">
        <f t="shared" si="10"/>
        <v>0</v>
      </c>
      <c r="K16" s="50">
        <f t="shared" si="11"/>
        <v>0</v>
      </c>
      <c r="L16" s="11"/>
      <c r="M16" s="11"/>
      <c r="N16" s="51">
        <f t="shared" si="5"/>
        <v>7</v>
      </c>
      <c r="O16" s="19">
        <f t="shared" si="12"/>
        <v>10</v>
      </c>
      <c r="P16" s="20">
        <f t="shared" si="6"/>
        <v>0</v>
      </c>
      <c r="Q16" s="21"/>
      <c r="R16" s="21"/>
      <c r="S16" s="21"/>
      <c r="T16" s="21"/>
      <c r="U16" s="21"/>
      <c r="V16" s="21"/>
      <c r="W16" s="21"/>
      <c r="X16" s="21"/>
      <c r="Y16" s="21"/>
      <c r="Z16" s="21"/>
    </row>
    <row r="17" spans="1:26">
      <c r="A17" s="43">
        <v>10</v>
      </c>
      <c r="B17" s="44" t="str">
        <f t="shared" si="7"/>
        <v>1-й год 10-й мес</v>
      </c>
      <c r="C17" s="45">
        <f t="shared" si="13"/>
        <v>41496</v>
      </c>
      <c r="D17" s="46">
        <f t="shared" si="3"/>
        <v>0</v>
      </c>
      <c r="E17" s="47">
        <f t="shared" si="8"/>
        <v>0</v>
      </c>
      <c r="F17" s="47">
        <f t="shared" si="14"/>
        <v>0</v>
      </c>
      <c r="G17" s="48">
        <f t="shared" si="9"/>
        <v>0</v>
      </c>
      <c r="H17" s="49">
        <f t="shared" si="4"/>
        <v>0</v>
      </c>
      <c r="I17" s="47">
        <f t="shared" si="15"/>
        <v>0</v>
      </c>
      <c r="J17" s="47">
        <f t="shared" si="10"/>
        <v>0</v>
      </c>
      <c r="K17" s="50">
        <f t="shared" si="11"/>
        <v>0</v>
      </c>
      <c r="L17" s="11"/>
      <c r="M17" s="11"/>
      <c r="N17" s="51">
        <f t="shared" si="5"/>
        <v>7</v>
      </c>
      <c r="O17" s="19">
        <f t="shared" si="12"/>
        <v>10</v>
      </c>
      <c r="P17" s="20">
        <f t="shared" si="6"/>
        <v>0</v>
      </c>
      <c r="Q17" s="21"/>
      <c r="R17" s="21"/>
      <c r="S17" s="21"/>
      <c r="T17" s="21"/>
      <c r="U17" s="21"/>
      <c r="V17" s="21"/>
      <c r="W17" s="21"/>
      <c r="X17" s="21"/>
      <c r="Y17" s="21"/>
      <c r="Z17" s="21"/>
    </row>
    <row r="18" spans="1:26">
      <c r="A18" s="43">
        <v>11</v>
      </c>
      <c r="B18" s="44" t="str">
        <f t="shared" si="7"/>
        <v>1-й год 11-й мес</v>
      </c>
      <c r="C18" s="45">
        <f t="shared" si="13"/>
        <v>41527</v>
      </c>
      <c r="D18" s="46">
        <f t="shared" si="3"/>
        <v>0</v>
      </c>
      <c r="E18" s="47">
        <f t="shared" si="8"/>
        <v>0</v>
      </c>
      <c r="F18" s="47">
        <f t="shared" si="14"/>
        <v>0</v>
      </c>
      <c r="G18" s="48">
        <f>G17-E18-L18-M18</f>
        <v>0</v>
      </c>
      <c r="H18" s="49">
        <f t="shared" si="4"/>
        <v>0</v>
      </c>
      <c r="I18" s="47">
        <f t="shared" si="15"/>
        <v>0</v>
      </c>
      <c r="J18" s="47">
        <f t="shared" si="10"/>
        <v>0</v>
      </c>
      <c r="K18" s="50">
        <f>K17-I18-L18-M18</f>
        <v>0</v>
      </c>
      <c r="L18" s="11"/>
      <c r="M18" s="11"/>
      <c r="N18" s="51">
        <f t="shared" si="5"/>
        <v>7</v>
      </c>
      <c r="O18" s="19">
        <f t="shared" si="12"/>
        <v>10</v>
      </c>
      <c r="P18" s="20">
        <f t="shared" si="6"/>
        <v>0</v>
      </c>
      <c r="Q18" s="21"/>
      <c r="R18" s="21"/>
      <c r="S18" s="21"/>
      <c r="T18" s="21"/>
      <c r="U18" s="21"/>
      <c r="V18" s="21"/>
      <c r="W18" s="21"/>
      <c r="X18" s="21"/>
      <c r="Y18" s="21"/>
      <c r="Z18" s="21"/>
    </row>
    <row r="19" spans="1:26">
      <c r="A19" s="43">
        <v>12</v>
      </c>
      <c r="B19" s="44" t="str">
        <f t="shared" si="7"/>
        <v>1-й год 12-й мес</v>
      </c>
      <c r="C19" s="45">
        <f t="shared" si="13"/>
        <v>41557</v>
      </c>
      <c r="D19" s="46">
        <f t="shared" si="3"/>
        <v>0</v>
      </c>
      <c r="E19" s="47">
        <f t="shared" si="8"/>
        <v>0</v>
      </c>
      <c r="F19" s="47">
        <f t="shared" si="14"/>
        <v>0</v>
      </c>
      <c r="G19" s="48">
        <f t="shared" si="9"/>
        <v>0</v>
      </c>
      <c r="H19" s="49">
        <f t="shared" si="4"/>
        <v>0</v>
      </c>
      <c r="I19" s="47">
        <f t="shared" si="15"/>
        <v>0</v>
      </c>
      <c r="J19" s="47">
        <f t="shared" si="10"/>
        <v>0</v>
      </c>
      <c r="K19" s="50">
        <f t="shared" si="11"/>
        <v>0</v>
      </c>
      <c r="L19" s="11"/>
      <c r="M19" s="11"/>
      <c r="N19" s="51">
        <f>IF(ISBLANK(L18),VALUE(N18),ROW(L18))</f>
        <v>7</v>
      </c>
      <c r="O19" s="19">
        <f t="shared" si="12"/>
        <v>10</v>
      </c>
      <c r="P19" s="20">
        <f t="shared" si="6"/>
        <v>0</v>
      </c>
      <c r="Q19" s="21"/>
      <c r="R19" s="21"/>
      <c r="S19" s="21"/>
      <c r="T19" s="21"/>
      <c r="U19" s="21"/>
      <c r="V19" s="21"/>
      <c r="W19" s="21"/>
      <c r="X19" s="21"/>
      <c r="Y19" s="21"/>
      <c r="Z19" s="21"/>
    </row>
    <row r="20" spans="1:26">
      <c r="A20" s="52">
        <v>13</v>
      </c>
      <c r="B20" s="44" t="str">
        <f t="shared" si="7"/>
        <v>2-й год 1-й мес</v>
      </c>
      <c r="C20" s="45">
        <f t="shared" si="13"/>
        <v>41588</v>
      </c>
      <c r="D20" s="46">
        <f t="shared" si="3"/>
        <v>0</v>
      </c>
      <c r="E20" s="53">
        <f t="shared" si="8"/>
        <v>0</v>
      </c>
      <c r="F20" s="47">
        <f t="shared" si="14"/>
        <v>0</v>
      </c>
      <c r="G20" s="54">
        <f t="shared" si="9"/>
        <v>0</v>
      </c>
      <c r="H20" s="55">
        <f t="shared" si="4"/>
        <v>0</v>
      </c>
      <c r="I20" s="53">
        <f t="shared" si="15"/>
        <v>0</v>
      </c>
      <c r="J20" s="53">
        <f t="shared" si="10"/>
        <v>0</v>
      </c>
      <c r="K20" s="56">
        <f t="shared" si="11"/>
        <v>0</v>
      </c>
      <c r="L20" s="11"/>
      <c r="M20" s="11"/>
      <c r="N20" s="51">
        <f t="shared" si="5"/>
        <v>7</v>
      </c>
      <c r="O20" s="19">
        <f t="shared" si="12"/>
        <v>10</v>
      </c>
      <c r="P20" s="20">
        <f t="shared" si="6"/>
        <v>0</v>
      </c>
      <c r="Q20" s="21"/>
      <c r="R20" s="21"/>
      <c r="S20" s="21"/>
      <c r="T20" s="21"/>
      <c r="U20" s="21"/>
      <c r="V20" s="21"/>
      <c r="W20" s="21"/>
      <c r="X20" s="21"/>
      <c r="Y20" s="21"/>
      <c r="Z20" s="21"/>
    </row>
    <row r="21" spans="1:26">
      <c r="A21" s="57">
        <v>14</v>
      </c>
      <c r="B21" s="44" t="str">
        <f t="shared" si="7"/>
        <v>2-й год 2-й мес</v>
      </c>
      <c r="C21" s="45">
        <f t="shared" si="13"/>
        <v>41618</v>
      </c>
      <c r="D21" s="46">
        <f t="shared" si="3"/>
        <v>0</v>
      </c>
      <c r="E21" s="47">
        <f t="shared" si="8"/>
        <v>0</v>
      </c>
      <c r="F21" s="47">
        <f t="shared" si="14"/>
        <v>0</v>
      </c>
      <c r="G21" s="48">
        <f t="shared" si="9"/>
        <v>0</v>
      </c>
      <c r="H21" s="49">
        <f t="shared" si="4"/>
        <v>0</v>
      </c>
      <c r="I21" s="47">
        <f t="shared" si="15"/>
        <v>0</v>
      </c>
      <c r="J21" s="47">
        <f t="shared" si="10"/>
        <v>0</v>
      </c>
      <c r="K21" s="50">
        <f t="shared" si="11"/>
        <v>0</v>
      </c>
      <c r="L21" s="11"/>
      <c r="M21" s="11"/>
      <c r="N21" s="51">
        <f t="shared" si="5"/>
        <v>7</v>
      </c>
      <c r="O21" s="19">
        <f t="shared" si="12"/>
        <v>10</v>
      </c>
      <c r="P21" s="20">
        <f t="shared" si="6"/>
        <v>0</v>
      </c>
      <c r="Q21" s="21"/>
      <c r="R21" s="21"/>
      <c r="S21" s="21"/>
      <c r="T21" s="21"/>
      <c r="U21" s="21"/>
      <c r="V21" s="21"/>
      <c r="W21" s="21"/>
      <c r="X21" s="21"/>
      <c r="Y21" s="21"/>
      <c r="Z21" s="21"/>
    </row>
    <row r="22" spans="1:26">
      <c r="A22" s="57">
        <v>15</v>
      </c>
      <c r="B22" s="44" t="str">
        <f t="shared" si="7"/>
        <v>2-й год 3-й мес</v>
      </c>
      <c r="C22" s="45">
        <f t="shared" si="13"/>
        <v>41649</v>
      </c>
      <c r="D22" s="46">
        <f t="shared" si="3"/>
        <v>0</v>
      </c>
      <c r="E22" s="47">
        <f t="shared" si="8"/>
        <v>0</v>
      </c>
      <c r="F22" s="47">
        <f t="shared" si="14"/>
        <v>0</v>
      </c>
      <c r="G22" s="48">
        <f t="shared" si="9"/>
        <v>0</v>
      </c>
      <c r="H22" s="49">
        <f t="shared" si="4"/>
        <v>0</v>
      </c>
      <c r="I22" s="47">
        <f t="shared" si="15"/>
        <v>0</v>
      </c>
      <c r="J22" s="47">
        <f t="shared" si="10"/>
        <v>0</v>
      </c>
      <c r="K22" s="50">
        <f t="shared" si="11"/>
        <v>0</v>
      </c>
      <c r="L22" s="11"/>
      <c r="M22" s="11"/>
      <c r="N22" s="51">
        <f t="shared" si="5"/>
        <v>7</v>
      </c>
      <c r="O22" s="19">
        <f t="shared" si="12"/>
        <v>10</v>
      </c>
      <c r="P22" s="20">
        <f t="shared" si="6"/>
        <v>0</v>
      </c>
      <c r="Q22" s="21"/>
      <c r="R22" s="21"/>
      <c r="S22" s="21"/>
      <c r="T22" s="21"/>
      <c r="U22" s="21"/>
      <c r="V22" s="21"/>
      <c r="W22" s="21"/>
      <c r="X22" s="21"/>
      <c r="Y22" s="21"/>
      <c r="Z22" s="21"/>
    </row>
    <row r="23" spans="1:26">
      <c r="A23" s="57">
        <v>16</v>
      </c>
      <c r="B23" s="44" t="str">
        <f t="shared" si="7"/>
        <v>2-й год 4-й мес</v>
      </c>
      <c r="C23" s="45">
        <f t="shared" si="13"/>
        <v>41680</v>
      </c>
      <c r="D23" s="46">
        <f t="shared" si="3"/>
        <v>0</v>
      </c>
      <c r="E23" s="47">
        <f t="shared" si="8"/>
        <v>0</v>
      </c>
      <c r="F23" s="47">
        <f t="shared" si="14"/>
        <v>0</v>
      </c>
      <c r="G23" s="48">
        <f t="shared" si="9"/>
        <v>0</v>
      </c>
      <c r="H23" s="49">
        <f t="shared" si="4"/>
        <v>0</v>
      </c>
      <c r="I23" s="47">
        <f t="shared" si="15"/>
        <v>0</v>
      </c>
      <c r="J23" s="47">
        <f t="shared" si="10"/>
        <v>0</v>
      </c>
      <c r="K23" s="50">
        <f t="shared" si="11"/>
        <v>0</v>
      </c>
      <c r="L23" s="11"/>
      <c r="M23" s="11"/>
      <c r="N23" s="51">
        <f t="shared" si="5"/>
        <v>7</v>
      </c>
      <c r="O23" s="19">
        <f t="shared" si="12"/>
        <v>10</v>
      </c>
      <c r="P23" s="20">
        <f t="shared" si="6"/>
        <v>0</v>
      </c>
      <c r="Q23" s="21"/>
      <c r="R23" s="21"/>
      <c r="S23" s="21"/>
      <c r="T23" s="21"/>
      <c r="U23" s="21"/>
      <c r="V23" s="21"/>
      <c r="W23" s="21"/>
      <c r="X23" s="21"/>
      <c r="Y23" s="21"/>
      <c r="Z23" s="21"/>
    </row>
    <row r="24" spans="1:26">
      <c r="A24" s="57">
        <v>17</v>
      </c>
      <c r="B24" s="44" t="str">
        <f t="shared" si="7"/>
        <v>2-й год 5-й мес</v>
      </c>
      <c r="C24" s="45">
        <f t="shared" si="13"/>
        <v>41708</v>
      </c>
      <c r="D24" s="46">
        <f t="shared" si="3"/>
        <v>0</v>
      </c>
      <c r="E24" s="47">
        <f t="shared" si="8"/>
        <v>0</v>
      </c>
      <c r="F24" s="47">
        <f t="shared" si="14"/>
        <v>0</v>
      </c>
      <c r="G24" s="48">
        <f t="shared" si="9"/>
        <v>0</v>
      </c>
      <c r="H24" s="49">
        <f t="shared" si="4"/>
        <v>0</v>
      </c>
      <c r="I24" s="47">
        <f t="shared" si="15"/>
        <v>0</v>
      </c>
      <c r="J24" s="47">
        <f t="shared" si="10"/>
        <v>0</v>
      </c>
      <c r="K24" s="50">
        <f t="shared" si="11"/>
        <v>0</v>
      </c>
      <c r="L24" s="11"/>
      <c r="M24" s="11"/>
      <c r="N24" s="51">
        <f t="shared" si="5"/>
        <v>7</v>
      </c>
      <c r="O24" s="19">
        <f t="shared" si="12"/>
        <v>10</v>
      </c>
      <c r="P24" s="20">
        <f t="shared" si="6"/>
        <v>0</v>
      </c>
      <c r="Q24" s="21"/>
      <c r="R24" s="21"/>
      <c r="S24" s="21"/>
      <c r="T24" s="21"/>
      <c r="U24" s="21"/>
      <c r="V24" s="21"/>
      <c r="W24" s="21"/>
      <c r="X24" s="21"/>
      <c r="Y24" s="21"/>
      <c r="Z24" s="21"/>
    </row>
    <row r="25" spans="1:26">
      <c r="A25" s="57">
        <v>18</v>
      </c>
      <c r="B25" s="44" t="str">
        <f t="shared" si="7"/>
        <v>2-й год 6-й мес</v>
      </c>
      <c r="C25" s="45">
        <f t="shared" si="13"/>
        <v>41739</v>
      </c>
      <c r="D25" s="46">
        <f t="shared" si="3"/>
        <v>0</v>
      </c>
      <c r="E25" s="47">
        <f t="shared" si="8"/>
        <v>0</v>
      </c>
      <c r="F25" s="47">
        <f t="shared" si="14"/>
        <v>0</v>
      </c>
      <c r="G25" s="48">
        <f t="shared" si="9"/>
        <v>0</v>
      </c>
      <c r="H25" s="49">
        <f t="shared" si="4"/>
        <v>0</v>
      </c>
      <c r="I25" s="47">
        <f t="shared" si="15"/>
        <v>0</v>
      </c>
      <c r="J25" s="47">
        <f t="shared" si="10"/>
        <v>0</v>
      </c>
      <c r="K25" s="50">
        <f t="shared" si="11"/>
        <v>0</v>
      </c>
      <c r="L25" s="11"/>
      <c r="M25" s="11"/>
      <c r="N25" s="51">
        <f t="shared" si="5"/>
        <v>7</v>
      </c>
      <c r="O25" s="19">
        <f t="shared" si="12"/>
        <v>10</v>
      </c>
      <c r="P25" s="20">
        <f t="shared" si="6"/>
        <v>0</v>
      </c>
      <c r="Q25" s="21"/>
      <c r="R25" s="21"/>
      <c r="S25" s="21"/>
      <c r="T25" s="21"/>
      <c r="U25" s="21"/>
      <c r="V25" s="21"/>
      <c r="W25" s="21"/>
      <c r="X25" s="21"/>
      <c r="Y25" s="21"/>
      <c r="Z25" s="21"/>
    </row>
    <row r="26" spans="1:26">
      <c r="A26" s="57">
        <v>19</v>
      </c>
      <c r="B26" s="44" t="str">
        <f t="shared" si="7"/>
        <v>2-й год 7-й мес</v>
      </c>
      <c r="C26" s="45">
        <f t="shared" si="13"/>
        <v>41769</v>
      </c>
      <c r="D26" s="46">
        <f t="shared" si="3"/>
        <v>0</v>
      </c>
      <c r="E26" s="47">
        <f t="shared" si="8"/>
        <v>0</v>
      </c>
      <c r="F26" s="47">
        <f t="shared" si="14"/>
        <v>0</v>
      </c>
      <c r="G26" s="48">
        <f t="shared" si="9"/>
        <v>0</v>
      </c>
      <c r="H26" s="49">
        <f t="shared" si="4"/>
        <v>0</v>
      </c>
      <c r="I26" s="47">
        <f t="shared" si="15"/>
        <v>0</v>
      </c>
      <c r="J26" s="47">
        <f t="shared" si="10"/>
        <v>0</v>
      </c>
      <c r="K26" s="50">
        <f t="shared" si="11"/>
        <v>0</v>
      </c>
      <c r="L26" s="11"/>
      <c r="M26" s="11"/>
      <c r="N26" s="51">
        <f t="shared" si="5"/>
        <v>7</v>
      </c>
      <c r="O26" s="19">
        <f t="shared" si="12"/>
        <v>10</v>
      </c>
      <c r="P26" s="20">
        <f t="shared" si="6"/>
        <v>0</v>
      </c>
      <c r="Q26" s="21"/>
      <c r="R26" s="21"/>
      <c r="S26" s="21"/>
      <c r="T26" s="21"/>
      <c r="U26" s="21"/>
      <c r="V26" s="21"/>
      <c r="W26" s="21"/>
      <c r="X26" s="21"/>
      <c r="Y26" s="21"/>
      <c r="Z26" s="21"/>
    </row>
    <row r="27" spans="1:26">
      <c r="A27" s="57">
        <v>20</v>
      </c>
      <c r="B27" s="44" t="str">
        <f t="shared" si="7"/>
        <v>2-й год 8-й мес</v>
      </c>
      <c r="C27" s="45">
        <f t="shared" si="13"/>
        <v>41800</v>
      </c>
      <c r="D27" s="46">
        <f t="shared" si="3"/>
        <v>0</v>
      </c>
      <c r="E27" s="47">
        <f t="shared" si="8"/>
        <v>0</v>
      </c>
      <c r="F27" s="47">
        <f t="shared" si="14"/>
        <v>0</v>
      </c>
      <c r="G27" s="48">
        <f t="shared" si="9"/>
        <v>0</v>
      </c>
      <c r="H27" s="49">
        <f t="shared" si="4"/>
        <v>0</v>
      </c>
      <c r="I27" s="47">
        <f t="shared" si="15"/>
        <v>0</v>
      </c>
      <c r="J27" s="47">
        <f t="shared" si="10"/>
        <v>0</v>
      </c>
      <c r="K27" s="50">
        <f t="shared" si="11"/>
        <v>0</v>
      </c>
      <c r="L27" s="11"/>
      <c r="M27" s="11"/>
      <c r="N27" s="51">
        <f t="shared" si="5"/>
        <v>7</v>
      </c>
      <c r="O27" s="19">
        <f t="shared" si="12"/>
        <v>10</v>
      </c>
      <c r="P27" s="20">
        <f t="shared" si="6"/>
        <v>0</v>
      </c>
      <c r="Q27" s="21"/>
      <c r="R27" s="21"/>
      <c r="S27" s="21"/>
      <c r="T27" s="21"/>
      <c r="U27" s="21"/>
      <c r="V27" s="21"/>
      <c r="W27" s="21"/>
      <c r="X27" s="21"/>
      <c r="Y27" s="21"/>
      <c r="Z27" s="21"/>
    </row>
    <row r="28" spans="1:26">
      <c r="A28" s="57">
        <v>21</v>
      </c>
      <c r="B28" s="44" t="str">
        <f t="shared" si="7"/>
        <v>2-й год 9-й мес</v>
      </c>
      <c r="C28" s="45">
        <f t="shared" si="13"/>
        <v>41830</v>
      </c>
      <c r="D28" s="46">
        <f t="shared" si="3"/>
        <v>0</v>
      </c>
      <c r="E28" s="47">
        <f t="shared" si="8"/>
        <v>0</v>
      </c>
      <c r="F28" s="47">
        <f t="shared" si="14"/>
        <v>0</v>
      </c>
      <c r="G28" s="48">
        <f t="shared" si="9"/>
        <v>0</v>
      </c>
      <c r="H28" s="49">
        <f t="shared" si="4"/>
        <v>0</v>
      </c>
      <c r="I28" s="47">
        <f t="shared" si="15"/>
        <v>0</v>
      </c>
      <c r="J28" s="47">
        <f t="shared" si="10"/>
        <v>0</v>
      </c>
      <c r="K28" s="50">
        <f t="shared" si="11"/>
        <v>0</v>
      </c>
      <c r="L28" s="11"/>
      <c r="M28" s="11"/>
      <c r="N28" s="51">
        <f t="shared" si="5"/>
        <v>7</v>
      </c>
      <c r="O28" s="19">
        <f t="shared" si="12"/>
        <v>10</v>
      </c>
      <c r="P28" s="20">
        <f t="shared" si="6"/>
        <v>0</v>
      </c>
      <c r="Q28" s="21"/>
      <c r="R28" s="21"/>
      <c r="S28" s="21"/>
      <c r="T28" s="21"/>
      <c r="U28" s="21"/>
      <c r="V28" s="21"/>
      <c r="W28" s="21"/>
      <c r="X28" s="21"/>
      <c r="Y28" s="21"/>
      <c r="Z28" s="21"/>
    </row>
    <row r="29" spans="1:26">
      <c r="A29" s="57">
        <v>22</v>
      </c>
      <c r="B29" s="44" t="str">
        <f t="shared" si="7"/>
        <v>2-й год 10-й мес</v>
      </c>
      <c r="C29" s="45">
        <f t="shared" si="13"/>
        <v>41861</v>
      </c>
      <c r="D29" s="46">
        <f t="shared" si="3"/>
        <v>0</v>
      </c>
      <c r="E29" s="47">
        <f t="shared" si="8"/>
        <v>0</v>
      </c>
      <c r="F29" s="47">
        <f t="shared" si="14"/>
        <v>0</v>
      </c>
      <c r="G29" s="48">
        <f t="shared" si="9"/>
        <v>0</v>
      </c>
      <c r="H29" s="49">
        <f t="shared" si="4"/>
        <v>0</v>
      </c>
      <c r="I29" s="47">
        <f t="shared" si="15"/>
        <v>0</v>
      </c>
      <c r="J29" s="47">
        <f t="shared" si="10"/>
        <v>0</v>
      </c>
      <c r="K29" s="50">
        <f t="shared" si="11"/>
        <v>0</v>
      </c>
      <c r="L29" s="11"/>
      <c r="M29" s="11"/>
      <c r="N29" s="51">
        <f t="shared" si="5"/>
        <v>7</v>
      </c>
      <c r="O29" s="19">
        <f t="shared" si="12"/>
        <v>10</v>
      </c>
      <c r="P29" s="20">
        <f t="shared" si="6"/>
        <v>0</v>
      </c>
      <c r="Q29" s="21"/>
      <c r="R29" s="21"/>
      <c r="S29" s="21"/>
      <c r="T29" s="21"/>
      <c r="U29" s="21"/>
      <c r="V29" s="21"/>
      <c r="W29" s="21"/>
      <c r="X29" s="21"/>
      <c r="Y29" s="21"/>
      <c r="Z29" s="21"/>
    </row>
    <row r="30" spans="1:26">
      <c r="A30" s="57">
        <v>23</v>
      </c>
      <c r="B30" s="44" t="str">
        <f t="shared" si="7"/>
        <v>2-й год 11-й мес</v>
      </c>
      <c r="C30" s="45">
        <f t="shared" si="13"/>
        <v>41892</v>
      </c>
      <c r="D30" s="46">
        <f t="shared" si="3"/>
        <v>0</v>
      </c>
      <c r="E30" s="47">
        <f t="shared" si="8"/>
        <v>0</v>
      </c>
      <c r="F30" s="47">
        <f t="shared" si="14"/>
        <v>0</v>
      </c>
      <c r="G30" s="48">
        <f t="shared" si="9"/>
        <v>0</v>
      </c>
      <c r="H30" s="49">
        <f t="shared" si="4"/>
        <v>0</v>
      </c>
      <c r="I30" s="47">
        <f t="shared" si="15"/>
        <v>0</v>
      </c>
      <c r="J30" s="47">
        <f t="shared" si="10"/>
        <v>0</v>
      </c>
      <c r="K30" s="50">
        <f t="shared" si="11"/>
        <v>0</v>
      </c>
      <c r="L30" s="11"/>
      <c r="M30" s="11"/>
      <c r="N30" s="51">
        <f t="shared" si="5"/>
        <v>7</v>
      </c>
      <c r="O30" s="19">
        <f t="shared" si="12"/>
        <v>10</v>
      </c>
      <c r="P30" s="20">
        <f t="shared" si="6"/>
        <v>0</v>
      </c>
      <c r="Q30" s="21"/>
      <c r="R30" s="21"/>
      <c r="S30" s="21"/>
      <c r="T30" s="21"/>
      <c r="U30" s="21"/>
      <c r="V30" s="21"/>
      <c r="W30" s="21"/>
      <c r="X30" s="21"/>
      <c r="Y30" s="21"/>
      <c r="Z30" s="21"/>
    </row>
    <row r="31" spans="1:26">
      <c r="A31" s="58">
        <v>24</v>
      </c>
      <c r="B31" s="44" t="str">
        <f t="shared" si="7"/>
        <v>2-й год 12-й мес</v>
      </c>
      <c r="C31" s="45">
        <f t="shared" si="13"/>
        <v>41922</v>
      </c>
      <c r="D31" s="46">
        <f t="shared" si="3"/>
        <v>0</v>
      </c>
      <c r="E31" s="59">
        <f t="shared" si="8"/>
        <v>0</v>
      </c>
      <c r="F31" s="47">
        <f t="shared" si="14"/>
        <v>0</v>
      </c>
      <c r="G31" s="60">
        <f t="shared" si="9"/>
        <v>0</v>
      </c>
      <c r="H31" s="61">
        <f t="shared" si="4"/>
        <v>0</v>
      </c>
      <c r="I31" s="59">
        <f t="shared" si="15"/>
        <v>0</v>
      </c>
      <c r="J31" s="59">
        <f t="shared" si="10"/>
        <v>0</v>
      </c>
      <c r="K31" s="62">
        <f t="shared" si="11"/>
        <v>0</v>
      </c>
      <c r="L31" s="11"/>
      <c r="M31" s="11"/>
      <c r="N31" s="51">
        <f t="shared" si="5"/>
        <v>7</v>
      </c>
      <c r="O31" s="19">
        <f t="shared" si="12"/>
        <v>10</v>
      </c>
      <c r="P31" s="20">
        <f t="shared" si="6"/>
        <v>0</v>
      </c>
      <c r="Q31" s="21"/>
      <c r="R31" s="21"/>
      <c r="S31" s="21"/>
      <c r="T31" s="21"/>
      <c r="U31" s="21"/>
      <c r="V31" s="21"/>
      <c r="W31" s="21"/>
      <c r="X31" s="21"/>
      <c r="Y31" s="21"/>
      <c r="Z31" s="21"/>
    </row>
    <row r="32" spans="1:26">
      <c r="A32" s="43">
        <v>25</v>
      </c>
      <c r="B32" s="44" t="str">
        <f t="shared" si="7"/>
        <v>3-й год 1-й мес</v>
      </c>
      <c r="C32" s="45">
        <f t="shared" si="13"/>
        <v>41953</v>
      </c>
      <c r="D32" s="46">
        <f t="shared" si="3"/>
        <v>0</v>
      </c>
      <c r="E32" s="47">
        <f t="shared" si="8"/>
        <v>0</v>
      </c>
      <c r="F32" s="47">
        <f t="shared" si="14"/>
        <v>0</v>
      </c>
      <c r="G32" s="48">
        <f t="shared" si="9"/>
        <v>0</v>
      </c>
      <c r="H32" s="49">
        <f t="shared" si="4"/>
        <v>0</v>
      </c>
      <c r="I32" s="47">
        <f t="shared" si="15"/>
        <v>0</v>
      </c>
      <c r="J32" s="47">
        <f t="shared" si="10"/>
        <v>0</v>
      </c>
      <c r="K32" s="50">
        <f t="shared" si="11"/>
        <v>0</v>
      </c>
      <c r="L32" s="11"/>
      <c r="M32" s="11"/>
      <c r="N32" s="51">
        <f t="shared" si="5"/>
        <v>7</v>
      </c>
      <c r="O32" s="19">
        <f t="shared" si="12"/>
        <v>10</v>
      </c>
      <c r="P32" s="20">
        <f t="shared" si="6"/>
        <v>0</v>
      </c>
      <c r="Q32" s="21"/>
      <c r="R32" s="21"/>
      <c r="S32" s="21"/>
      <c r="T32" s="21"/>
      <c r="U32" s="21"/>
      <c r="V32" s="21"/>
      <c r="W32" s="21"/>
      <c r="X32" s="21"/>
      <c r="Y32" s="21"/>
      <c r="Z32" s="21"/>
    </row>
    <row r="33" spans="1:26">
      <c r="A33" s="43">
        <v>26</v>
      </c>
      <c r="B33" s="44" t="str">
        <f t="shared" si="7"/>
        <v>3-й год 2-й мес</v>
      </c>
      <c r="C33" s="45">
        <f t="shared" si="13"/>
        <v>41983</v>
      </c>
      <c r="D33" s="46">
        <f t="shared" si="3"/>
        <v>0</v>
      </c>
      <c r="E33" s="47">
        <f t="shared" si="8"/>
        <v>0</v>
      </c>
      <c r="F33" s="47">
        <f t="shared" si="14"/>
        <v>0</v>
      </c>
      <c r="G33" s="48">
        <f t="shared" si="9"/>
        <v>0</v>
      </c>
      <c r="H33" s="49">
        <f t="shared" si="4"/>
        <v>0</v>
      </c>
      <c r="I33" s="47">
        <f t="shared" si="15"/>
        <v>0</v>
      </c>
      <c r="J33" s="47">
        <f t="shared" si="10"/>
        <v>0</v>
      </c>
      <c r="K33" s="50">
        <f t="shared" si="11"/>
        <v>0</v>
      </c>
      <c r="L33" s="63"/>
      <c r="M33" s="64"/>
      <c r="N33" s="51">
        <f t="shared" si="5"/>
        <v>7</v>
      </c>
      <c r="O33" s="19">
        <f t="shared" si="12"/>
        <v>10</v>
      </c>
      <c r="P33" s="20">
        <f t="shared" si="6"/>
        <v>0</v>
      </c>
      <c r="Q33" s="21"/>
      <c r="R33" s="21"/>
      <c r="S33" s="21"/>
      <c r="T33" s="21"/>
      <c r="U33" s="21"/>
      <c r="V33" s="21"/>
      <c r="W33" s="21"/>
      <c r="X33" s="21"/>
      <c r="Y33" s="21"/>
      <c r="Z33" s="21"/>
    </row>
    <row r="34" spans="1:26">
      <c r="A34" s="43">
        <v>27</v>
      </c>
      <c r="B34" s="44" t="str">
        <f t="shared" si="7"/>
        <v>3-й год 3-й мес</v>
      </c>
      <c r="C34" s="45">
        <f t="shared" si="13"/>
        <v>42014</v>
      </c>
      <c r="D34" s="46">
        <f t="shared" si="3"/>
        <v>0</v>
      </c>
      <c r="E34" s="47">
        <f t="shared" si="8"/>
        <v>0</v>
      </c>
      <c r="F34" s="47">
        <f t="shared" si="14"/>
        <v>0</v>
      </c>
      <c r="G34" s="48">
        <f t="shared" si="9"/>
        <v>0</v>
      </c>
      <c r="H34" s="49">
        <f t="shared" si="4"/>
        <v>0</v>
      </c>
      <c r="I34" s="47">
        <f t="shared" si="15"/>
        <v>0</v>
      </c>
      <c r="J34" s="47">
        <f t="shared" si="10"/>
        <v>0</v>
      </c>
      <c r="K34" s="50">
        <f t="shared" si="11"/>
        <v>0</v>
      </c>
      <c r="L34" s="63"/>
      <c r="M34" s="64"/>
      <c r="N34" s="51">
        <f t="shared" si="5"/>
        <v>7</v>
      </c>
      <c r="O34" s="19">
        <f t="shared" si="12"/>
        <v>10</v>
      </c>
      <c r="P34" s="20">
        <f t="shared" si="6"/>
        <v>0</v>
      </c>
      <c r="Q34" s="21"/>
      <c r="R34" s="21"/>
      <c r="S34" s="21"/>
      <c r="T34" s="21"/>
      <c r="U34" s="21"/>
      <c r="V34" s="21"/>
      <c r="W34" s="21"/>
      <c r="X34" s="21"/>
      <c r="Y34" s="21"/>
      <c r="Z34" s="21"/>
    </row>
    <row r="35" spans="1:26">
      <c r="A35" s="43">
        <v>28</v>
      </c>
      <c r="B35" s="44" t="str">
        <f t="shared" si="7"/>
        <v>3-й год 4-й мес</v>
      </c>
      <c r="C35" s="45">
        <f t="shared" si="13"/>
        <v>42045</v>
      </c>
      <c r="D35" s="46">
        <f t="shared" si="3"/>
        <v>0</v>
      </c>
      <c r="E35" s="47">
        <f t="shared" si="8"/>
        <v>0</v>
      </c>
      <c r="F35" s="47">
        <f t="shared" si="14"/>
        <v>0</v>
      </c>
      <c r="G35" s="48">
        <f t="shared" si="9"/>
        <v>0</v>
      </c>
      <c r="H35" s="49">
        <f t="shared" si="4"/>
        <v>0</v>
      </c>
      <c r="I35" s="47">
        <f t="shared" si="15"/>
        <v>0</v>
      </c>
      <c r="J35" s="47">
        <f t="shared" si="10"/>
        <v>0</v>
      </c>
      <c r="K35" s="50">
        <f t="shared" si="11"/>
        <v>0</v>
      </c>
      <c r="L35" s="63"/>
      <c r="M35" s="64"/>
      <c r="N35" s="51">
        <f t="shared" si="5"/>
        <v>7</v>
      </c>
      <c r="O35" s="19">
        <f t="shared" si="12"/>
        <v>10</v>
      </c>
      <c r="P35" s="20">
        <f t="shared" si="6"/>
        <v>0</v>
      </c>
      <c r="Q35" s="21"/>
      <c r="R35" s="21"/>
      <c r="S35" s="21"/>
      <c r="T35" s="21"/>
      <c r="U35" s="21"/>
      <c r="V35" s="21"/>
      <c r="W35" s="21"/>
      <c r="X35" s="21"/>
      <c r="Y35" s="21"/>
      <c r="Z35" s="21"/>
    </row>
    <row r="36" spans="1:26">
      <c r="A36" s="43">
        <v>29</v>
      </c>
      <c r="B36" s="44" t="str">
        <f t="shared" si="7"/>
        <v>3-й год 5-й мес</v>
      </c>
      <c r="C36" s="45">
        <f t="shared" si="13"/>
        <v>42073</v>
      </c>
      <c r="D36" s="46">
        <f t="shared" si="3"/>
        <v>0</v>
      </c>
      <c r="E36" s="47">
        <f t="shared" si="8"/>
        <v>0</v>
      </c>
      <c r="F36" s="47">
        <f t="shared" si="14"/>
        <v>0</v>
      </c>
      <c r="G36" s="48">
        <f t="shared" si="9"/>
        <v>0</v>
      </c>
      <c r="H36" s="49">
        <f t="shared" si="4"/>
        <v>0</v>
      </c>
      <c r="I36" s="47">
        <f t="shared" si="15"/>
        <v>0</v>
      </c>
      <c r="J36" s="47">
        <f t="shared" si="10"/>
        <v>0</v>
      </c>
      <c r="K36" s="50">
        <f t="shared" si="11"/>
        <v>0</v>
      </c>
      <c r="L36" s="63"/>
      <c r="M36" s="64"/>
      <c r="N36" s="51">
        <f t="shared" si="5"/>
        <v>7</v>
      </c>
      <c r="O36" s="19">
        <f t="shared" si="12"/>
        <v>10</v>
      </c>
      <c r="P36" s="20">
        <f t="shared" si="6"/>
        <v>0</v>
      </c>
      <c r="Q36" s="21"/>
      <c r="R36" s="21"/>
      <c r="S36" s="21"/>
      <c r="T36" s="21"/>
      <c r="U36" s="21"/>
      <c r="V36" s="21"/>
      <c r="W36" s="21"/>
      <c r="X36" s="21"/>
      <c r="Y36" s="21"/>
      <c r="Z36" s="21"/>
    </row>
    <row r="37" spans="1:26">
      <c r="A37" s="43">
        <v>30</v>
      </c>
      <c r="B37" s="44" t="str">
        <f t="shared" si="7"/>
        <v>3-й год 6-й мес</v>
      </c>
      <c r="C37" s="45">
        <f t="shared" si="13"/>
        <v>42104</v>
      </c>
      <c r="D37" s="46">
        <f t="shared" si="3"/>
        <v>0</v>
      </c>
      <c r="E37" s="47">
        <f t="shared" si="8"/>
        <v>0</v>
      </c>
      <c r="F37" s="47">
        <f t="shared" si="14"/>
        <v>0</v>
      </c>
      <c r="G37" s="48">
        <f t="shared" si="9"/>
        <v>0</v>
      </c>
      <c r="H37" s="49">
        <f t="shared" si="4"/>
        <v>0</v>
      </c>
      <c r="I37" s="47">
        <f t="shared" si="15"/>
        <v>0</v>
      </c>
      <c r="J37" s="47">
        <f t="shared" si="10"/>
        <v>0</v>
      </c>
      <c r="K37" s="50">
        <f t="shared" si="11"/>
        <v>0</v>
      </c>
      <c r="L37" s="63"/>
      <c r="M37" s="64"/>
      <c r="N37" s="51">
        <f t="shared" si="5"/>
        <v>7</v>
      </c>
      <c r="O37" s="19">
        <f t="shared" si="12"/>
        <v>10</v>
      </c>
      <c r="P37" s="20">
        <f t="shared" si="6"/>
        <v>0</v>
      </c>
      <c r="Q37" s="21"/>
      <c r="R37" s="21"/>
      <c r="S37" s="21"/>
      <c r="T37" s="21"/>
      <c r="U37" s="21"/>
      <c r="V37" s="21"/>
      <c r="W37" s="21"/>
      <c r="X37" s="21"/>
      <c r="Y37" s="21"/>
      <c r="Z37" s="21"/>
    </row>
    <row r="38" spans="1:26">
      <c r="A38" s="43">
        <v>31</v>
      </c>
      <c r="B38" s="44" t="str">
        <f t="shared" si="7"/>
        <v>3-й год 7-й мес</v>
      </c>
      <c r="C38" s="45">
        <f t="shared" si="13"/>
        <v>42134</v>
      </c>
      <c r="D38" s="46">
        <f t="shared" si="3"/>
        <v>0</v>
      </c>
      <c r="E38" s="47">
        <f t="shared" si="8"/>
        <v>0</v>
      </c>
      <c r="F38" s="47">
        <f t="shared" si="14"/>
        <v>0</v>
      </c>
      <c r="G38" s="48">
        <f t="shared" si="9"/>
        <v>0</v>
      </c>
      <c r="H38" s="49">
        <f t="shared" si="4"/>
        <v>0</v>
      </c>
      <c r="I38" s="47">
        <f t="shared" si="15"/>
        <v>0</v>
      </c>
      <c r="J38" s="47">
        <f t="shared" si="10"/>
        <v>0</v>
      </c>
      <c r="K38" s="50">
        <f t="shared" si="11"/>
        <v>0</v>
      </c>
      <c r="L38" s="63"/>
      <c r="M38" s="64"/>
      <c r="N38" s="51">
        <f t="shared" si="5"/>
        <v>7</v>
      </c>
      <c r="O38" s="19">
        <f t="shared" si="12"/>
        <v>10</v>
      </c>
      <c r="P38" s="20">
        <f t="shared" si="6"/>
        <v>0</v>
      </c>
      <c r="Q38" s="21"/>
      <c r="R38" s="21"/>
      <c r="S38" s="21"/>
      <c r="T38" s="21"/>
      <c r="U38" s="21"/>
      <c r="V38" s="21"/>
      <c r="W38" s="21"/>
      <c r="X38" s="21"/>
      <c r="Y38" s="21"/>
      <c r="Z38" s="21"/>
    </row>
    <row r="39" spans="1:26">
      <c r="A39" s="43">
        <v>32</v>
      </c>
      <c r="B39" s="44" t="str">
        <f t="shared" si="7"/>
        <v>3-й год 8-й мес</v>
      </c>
      <c r="C39" s="45">
        <f t="shared" si="13"/>
        <v>42165</v>
      </c>
      <c r="D39" s="46">
        <f t="shared" si="3"/>
        <v>0</v>
      </c>
      <c r="E39" s="47">
        <f t="shared" si="8"/>
        <v>0</v>
      </c>
      <c r="F39" s="47">
        <f t="shared" si="14"/>
        <v>0</v>
      </c>
      <c r="G39" s="48">
        <f t="shared" si="9"/>
        <v>0</v>
      </c>
      <c r="H39" s="49">
        <f t="shared" si="4"/>
        <v>0</v>
      </c>
      <c r="I39" s="47">
        <f t="shared" si="15"/>
        <v>0</v>
      </c>
      <c r="J39" s="47">
        <f t="shared" si="10"/>
        <v>0</v>
      </c>
      <c r="K39" s="50">
        <f t="shared" si="11"/>
        <v>0</v>
      </c>
      <c r="L39" s="63"/>
      <c r="M39" s="64"/>
      <c r="N39" s="51">
        <f t="shared" si="5"/>
        <v>7</v>
      </c>
      <c r="O39" s="19">
        <f t="shared" si="12"/>
        <v>10</v>
      </c>
      <c r="P39" s="20">
        <f t="shared" si="6"/>
        <v>0</v>
      </c>
      <c r="Q39" s="21"/>
      <c r="R39" s="21"/>
      <c r="S39" s="21"/>
      <c r="T39" s="21"/>
      <c r="U39" s="21"/>
      <c r="V39" s="21"/>
      <c r="W39" s="21"/>
      <c r="X39" s="21"/>
      <c r="Y39" s="21"/>
      <c r="Z39" s="21"/>
    </row>
    <row r="40" spans="1:26">
      <c r="A40" s="43">
        <v>33</v>
      </c>
      <c r="B40" s="44" t="str">
        <f t="shared" si="7"/>
        <v>3-й год 9-й мес</v>
      </c>
      <c r="C40" s="45">
        <f t="shared" si="13"/>
        <v>42195</v>
      </c>
      <c r="D40" s="46">
        <f t="shared" si="3"/>
        <v>0</v>
      </c>
      <c r="E40" s="47">
        <f t="shared" si="8"/>
        <v>0</v>
      </c>
      <c r="F40" s="47">
        <f t="shared" si="14"/>
        <v>0</v>
      </c>
      <c r="G40" s="48">
        <f t="shared" si="9"/>
        <v>0</v>
      </c>
      <c r="H40" s="49">
        <f t="shared" si="4"/>
        <v>0</v>
      </c>
      <c r="I40" s="47">
        <f t="shared" si="15"/>
        <v>0</v>
      </c>
      <c r="J40" s="47">
        <f t="shared" si="10"/>
        <v>0</v>
      </c>
      <c r="K40" s="50">
        <f t="shared" si="11"/>
        <v>0</v>
      </c>
      <c r="L40" s="63"/>
      <c r="M40" s="64"/>
      <c r="N40" s="51">
        <f t="shared" si="5"/>
        <v>7</v>
      </c>
      <c r="O40" s="19">
        <f t="shared" si="12"/>
        <v>10</v>
      </c>
      <c r="P40" s="20">
        <f t="shared" si="6"/>
        <v>0</v>
      </c>
      <c r="Q40" s="21"/>
      <c r="R40" s="21"/>
      <c r="S40" s="21"/>
      <c r="T40" s="21"/>
      <c r="U40" s="21"/>
      <c r="V40" s="21"/>
      <c r="W40" s="21"/>
      <c r="X40" s="21"/>
      <c r="Y40" s="21"/>
      <c r="Z40" s="21"/>
    </row>
    <row r="41" spans="1:26">
      <c r="A41" s="43">
        <v>34</v>
      </c>
      <c r="B41" s="44" t="str">
        <f t="shared" si="7"/>
        <v>3-й год 10-й мес</v>
      </c>
      <c r="C41" s="45">
        <f t="shared" si="13"/>
        <v>42226</v>
      </c>
      <c r="D41" s="46">
        <f t="shared" si="3"/>
        <v>0</v>
      </c>
      <c r="E41" s="47">
        <f t="shared" si="8"/>
        <v>0</v>
      </c>
      <c r="F41" s="47">
        <f t="shared" si="14"/>
        <v>0</v>
      </c>
      <c r="G41" s="48">
        <f t="shared" si="9"/>
        <v>0</v>
      </c>
      <c r="H41" s="49">
        <f t="shared" si="4"/>
        <v>0</v>
      </c>
      <c r="I41" s="47">
        <f t="shared" si="15"/>
        <v>0</v>
      </c>
      <c r="J41" s="47">
        <f t="shared" si="10"/>
        <v>0</v>
      </c>
      <c r="K41" s="50">
        <f t="shared" si="11"/>
        <v>0</v>
      </c>
      <c r="L41" s="63"/>
      <c r="M41" s="64"/>
      <c r="N41" s="51">
        <f t="shared" si="5"/>
        <v>7</v>
      </c>
      <c r="O41" s="19">
        <f t="shared" si="12"/>
        <v>10</v>
      </c>
      <c r="P41" s="20">
        <f t="shared" si="6"/>
        <v>0</v>
      </c>
      <c r="Q41" s="21"/>
      <c r="R41" s="21"/>
      <c r="S41" s="21"/>
      <c r="T41" s="21"/>
      <c r="U41" s="21"/>
      <c r="V41" s="21"/>
      <c r="W41" s="21"/>
      <c r="X41" s="21"/>
      <c r="Y41" s="21"/>
      <c r="Z41" s="21"/>
    </row>
    <row r="42" spans="1:26">
      <c r="A42" s="43">
        <v>35</v>
      </c>
      <c r="B42" s="44" t="str">
        <f t="shared" si="7"/>
        <v>3-й год 11-й мес</v>
      </c>
      <c r="C42" s="45">
        <f t="shared" si="13"/>
        <v>42257</v>
      </c>
      <c r="D42" s="46">
        <f t="shared" si="3"/>
        <v>0</v>
      </c>
      <c r="E42" s="47">
        <f t="shared" si="8"/>
        <v>0</v>
      </c>
      <c r="F42" s="47">
        <f t="shared" si="14"/>
        <v>0</v>
      </c>
      <c r="G42" s="48">
        <f t="shared" si="9"/>
        <v>0</v>
      </c>
      <c r="H42" s="49">
        <f t="shared" si="4"/>
        <v>0</v>
      </c>
      <c r="I42" s="47">
        <f t="shared" si="15"/>
        <v>0</v>
      </c>
      <c r="J42" s="47">
        <f t="shared" si="10"/>
        <v>0</v>
      </c>
      <c r="K42" s="50">
        <f t="shared" si="11"/>
        <v>0</v>
      </c>
      <c r="L42" s="63"/>
      <c r="M42" s="64"/>
      <c r="N42" s="51">
        <f t="shared" si="5"/>
        <v>7</v>
      </c>
      <c r="O42" s="19">
        <f t="shared" si="12"/>
        <v>10</v>
      </c>
      <c r="P42" s="20">
        <f t="shared" si="6"/>
        <v>0</v>
      </c>
      <c r="Q42" s="21"/>
      <c r="R42" s="21"/>
      <c r="S42" s="21"/>
      <c r="T42" s="21"/>
      <c r="U42" s="21"/>
      <c r="V42" s="21"/>
      <c r="W42" s="21"/>
      <c r="X42" s="21"/>
      <c r="Y42" s="21"/>
      <c r="Z42" s="21"/>
    </row>
    <row r="43" spans="1:26">
      <c r="A43" s="43">
        <v>36</v>
      </c>
      <c r="B43" s="44" t="str">
        <f t="shared" si="7"/>
        <v>3-й год 12-й мес</v>
      </c>
      <c r="C43" s="45">
        <f t="shared" si="13"/>
        <v>42287</v>
      </c>
      <c r="D43" s="46">
        <f t="shared" si="3"/>
        <v>0</v>
      </c>
      <c r="E43" s="47">
        <f t="shared" si="8"/>
        <v>0</v>
      </c>
      <c r="F43" s="47">
        <f t="shared" si="14"/>
        <v>0</v>
      </c>
      <c r="G43" s="48">
        <f t="shared" si="9"/>
        <v>0</v>
      </c>
      <c r="H43" s="49">
        <f t="shared" si="4"/>
        <v>0</v>
      </c>
      <c r="I43" s="47">
        <f t="shared" si="15"/>
        <v>0</v>
      </c>
      <c r="J43" s="47">
        <f t="shared" si="10"/>
        <v>0</v>
      </c>
      <c r="K43" s="50">
        <f t="shared" si="11"/>
        <v>0</v>
      </c>
      <c r="L43" s="63"/>
      <c r="M43" s="64"/>
      <c r="N43" s="51">
        <f t="shared" si="5"/>
        <v>7</v>
      </c>
      <c r="O43" s="19">
        <f t="shared" si="12"/>
        <v>10</v>
      </c>
      <c r="P43" s="20">
        <f t="shared" si="6"/>
        <v>0</v>
      </c>
      <c r="Q43" s="21"/>
      <c r="R43" s="21"/>
      <c r="S43" s="21"/>
      <c r="T43" s="21"/>
      <c r="U43" s="21"/>
      <c r="V43" s="21"/>
      <c r="W43" s="21"/>
      <c r="X43" s="21"/>
      <c r="Y43" s="21"/>
      <c r="Z43" s="21"/>
    </row>
    <row r="44" spans="1:26">
      <c r="A44" s="52">
        <v>37</v>
      </c>
      <c r="B44" s="44" t="str">
        <f t="shared" si="7"/>
        <v>4-й год 1-й мес</v>
      </c>
      <c r="C44" s="45">
        <f t="shared" si="13"/>
        <v>42318</v>
      </c>
      <c r="D44" s="46">
        <f t="shared" si="3"/>
        <v>0</v>
      </c>
      <c r="E44" s="53">
        <f t="shared" si="8"/>
        <v>0</v>
      </c>
      <c r="F44" s="47">
        <f t="shared" si="14"/>
        <v>0</v>
      </c>
      <c r="G44" s="54">
        <f t="shared" si="9"/>
        <v>0</v>
      </c>
      <c r="H44" s="55">
        <f t="shared" si="4"/>
        <v>0</v>
      </c>
      <c r="I44" s="53">
        <f t="shared" si="15"/>
        <v>0</v>
      </c>
      <c r="J44" s="53">
        <f t="shared" si="10"/>
        <v>0</v>
      </c>
      <c r="K44" s="56">
        <f t="shared" si="11"/>
        <v>0</v>
      </c>
      <c r="L44" s="65"/>
      <c r="M44" s="64"/>
      <c r="N44" s="51">
        <f t="shared" si="5"/>
        <v>7</v>
      </c>
      <c r="O44" s="19">
        <f t="shared" si="12"/>
        <v>10</v>
      </c>
      <c r="P44" s="20">
        <f t="shared" si="6"/>
        <v>0</v>
      </c>
      <c r="Q44" s="21"/>
      <c r="R44" s="21"/>
      <c r="S44" s="21"/>
      <c r="T44" s="21"/>
      <c r="U44" s="21"/>
      <c r="V44" s="21"/>
      <c r="W44" s="21"/>
      <c r="X44" s="21"/>
      <c r="Y44" s="21"/>
      <c r="Z44" s="21"/>
    </row>
    <row r="45" spans="1:26">
      <c r="A45" s="57">
        <v>38</v>
      </c>
      <c r="B45" s="44" t="str">
        <f t="shared" si="7"/>
        <v>4-й год 2-й мес</v>
      </c>
      <c r="C45" s="45">
        <f t="shared" si="13"/>
        <v>42348</v>
      </c>
      <c r="D45" s="46">
        <f t="shared" si="3"/>
        <v>0</v>
      </c>
      <c r="E45" s="47">
        <f t="shared" si="8"/>
        <v>0</v>
      </c>
      <c r="F45" s="47">
        <f t="shared" si="14"/>
        <v>0</v>
      </c>
      <c r="G45" s="48">
        <f t="shared" si="9"/>
        <v>0</v>
      </c>
      <c r="H45" s="49">
        <f t="shared" si="4"/>
        <v>0</v>
      </c>
      <c r="I45" s="47">
        <f t="shared" si="15"/>
        <v>0</v>
      </c>
      <c r="J45" s="47">
        <f t="shared" si="10"/>
        <v>0</v>
      </c>
      <c r="K45" s="50">
        <f t="shared" si="11"/>
        <v>0</v>
      </c>
      <c r="L45" s="63"/>
      <c r="M45" s="64"/>
      <c r="N45" s="51">
        <f t="shared" si="5"/>
        <v>7</v>
      </c>
      <c r="O45" s="19">
        <f t="shared" si="12"/>
        <v>10</v>
      </c>
      <c r="P45" s="20">
        <f t="shared" si="6"/>
        <v>0</v>
      </c>
      <c r="Q45" s="21"/>
      <c r="R45" s="21"/>
      <c r="S45" s="21"/>
      <c r="T45" s="21"/>
      <c r="U45" s="21"/>
      <c r="V45" s="21"/>
      <c r="W45" s="21"/>
      <c r="X45" s="21"/>
      <c r="Y45" s="21"/>
      <c r="Z45" s="21"/>
    </row>
    <row r="46" spans="1:26">
      <c r="A46" s="57">
        <v>39</v>
      </c>
      <c r="B46" s="44" t="str">
        <f t="shared" si="7"/>
        <v>4-й год 3-й мес</v>
      </c>
      <c r="C46" s="45">
        <f t="shared" si="13"/>
        <v>42379</v>
      </c>
      <c r="D46" s="46">
        <f t="shared" si="3"/>
        <v>0</v>
      </c>
      <c r="E46" s="47">
        <f t="shared" si="8"/>
        <v>0</v>
      </c>
      <c r="F46" s="47">
        <f t="shared" si="14"/>
        <v>0</v>
      </c>
      <c r="G46" s="48">
        <f t="shared" si="9"/>
        <v>0</v>
      </c>
      <c r="H46" s="49">
        <f t="shared" si="4"/>
        <v>0</v>
      </c>
      <c r="I46" s="47">
        <f t="shared" si="15"/>
        <v>0</v>
      </c>
      <c r="J46" s="47">
        <f t="shared" si="10"/>
        <v>0</v>
      </c>
      <c r="K46" s="50">
        <f t="shared" si="11"/>
        <v>0</v>
      </c>
      <c r="L46" s="63"/>
      <c r="M46" s="64"/>
      <c r="N46" s="51">
        <f t="shared" si="5"/>
        <v>7</v>
      </c>
      <c r="O46" s="19">
        <f t="shared" si="12"/>
        <v>10</v>
      </c>
      <c r="P46" s="20">
        <f t="shared" si="6"/>
        <v>0</v>
      </c>
      <c r="Q46" s="21"/>
      <c r="R46" s="21"/>
      <c r="S46" s="21"/>
      <c r="T46" s="21"/>
      <c r="U46" s="21"/>
      <c r="V46" s="21"/>
      <c r="W46" s="21"/>
      <c r="X46" s="21"/>
      <c r="Y46" s="21"/>
      <c r="Z46" s="21"/>
    </row>
    <row r="47" spans="1:26">
      <c r="A47" s="57">
        <v>40</v>
      </c>
      <c r="B47" s="44" t="str">
        <f t="shared" si="7"/>
        <v>4-й год 4-й мес</v>
      </c>
      <c r="C47" s="45">
        <f t="shared" si="13"/>
        <v>42410</v>
      </c>
      <c r="D47" s="46">
        <f t="shared" si="3"/>
        <v>0</v>
      </c>
      <c r="E47" s="47">
        <f t="shared" si="8"/>
        <v>0</v>
      </c>
      <c r="F47" s="47">
        <f t="shared" si="14"/>
        <v>0</v>
      </c>
      <c r="G47" s="48">
        <f t="shared" si="9"/>
        <v>0</v>
      </c>
      <c r="H47" s="49">
        <f t="shared" si="4"/>
        <v>0</v>
      </c>
      <c r="I47" s="47">
        <f t="shared" si="15"/>
        <v>0</v>
      </c>
      <c r="J47" s="47">
        <f t="shared" si="10"/>
        <v>0</v>
      </c>
      <c r="K47" s="50">
        <f t="shared" si="11"/>
        <v>0</v>
      </c>
      <c r="L47" s="63"/>
      <c r="M47" s="64"/>
      <c r="N47" s="51">
        <f t="shared" si="5"/>
        <v>7</v>
      </c>
      <c r="O47" s="19">
        <f t="shared" si="12"/>
        <v>10</v>
      </c>
      <c r="P47" s="20">
        <f t="shared" si="6"/>
        <v>0</v>
      </c>
      <c r="Q47" s="21"/>
      <c r="R47" s="21"/>
      <c r="S47" s="21"/>
      <c r="T47" s="21"/>
      <c r="U47" s="21"/>
      <c r="V47" s="21"/>
      <c r="W47" s="21"/>
      <c r="X47" s="21"/>
      <c r="Y47" s="21"/>
      <c r="Z47" s="21"/>
    </row>
    <row r="48" spans="1:26">
      <c r="A48" s="57">
        <v>41</v>
      </c>
      <c r="B48" s="44" t="str">
        <f t="shared" si="7"/>
        <v>4-й год 5-й мес</v>
      </c>
      <c r="C48" s="45">
        <f t="shared" si="13"/>
        <v>42439</v>
      </c>
      <c r="D48" s="46">
        <f t="shared" si="3"/>
        <v>0</v>
      </c>
      <c r="E48" s="47">
        <f t="shared" si="8"/>
        <v>0</v>
      </c>
      <c r="F48" s="47">
        <f t="shared" si="14"/>
        <v>0</v>
      </c>
      <c r="G48" s="48">
        <f t="shared" si="9"/>
        <v>0</v>
      </c>
      <c r="H48" s="49">
        <f t="shared" si="4"/>
        <v>0</v>
      </c>
      <c r="I48" s="47">
        <f t="shared" si="15"/>
        <v>0</v>
      </c>
      <c r="J48" s="47">
        <f t="shared" si="10"/>
        <v>0</v>
      </c>
      <c r="K48" s="50">
        <f t="shared" si="11"/>
        <v>0</v>
      </c>
      <c r="L48" s="63"/>
      <c r="M48" s="64"/>
      <c r="N48" s="51">
        <f t="shared" si="5"/>
        <v>7</v>
      </c>
      <c r="O48" s="19">
        <f t="shared" si="12"/>
        <v>10</v>
      </c>
      <c r="P48" s="20">
        <f t="shared" si="6"/>
        <v>0</v>
      </c>
      <c r="Q48" s="21"/>
      <c r="R48" s="21"/>
      <c r="S48" s="21"/>
      <c r="T48" s="21"/>
      <c r="U48" s="21"/>
      <c r="V48" s="21"/>
      <c r="W48" s="21"/>
      <c r="X48" s="21"/>
      <c r="Y48" s="21"/>
      <c r="Z48" s="21"/>
    </row>
    <row r="49" spans="1:26">
      <c r="A49" s="57">
        <v>42</v>
      </c>
      <c r="B49" s="44" t="str">
        <f t="shared" si="7"/>
        <v>4-й год 6-й мес</v>
      </c>
      <c r="C49" s="45">
        <f t="shared" si="13"/>
        <v>42470</v>
      </c>
      <c r="D49" s="46">
        <f t="shared" si="3"/>
        <v>0</v>
      </c>
      <c r="E49" s="47">
        <f t="shared" si="8"/>
        <v>0</v>
      </c>
      <c r="F49" s="47">
        <f t="shared" si="14"/>
        <v>0</v>
      </c>
      <c r="G49" s="48">
        <f t="shared" si="9"/>
        <v>0</v>
      </c>
      <c r="H49" s="49">
        <f t="shared" si="4"/>
        <v>0</v>
      </c>
      <c r="I49" s="47">
        <f t="shared" si="15"/>
        <v>0</v>
      </c>
      <c r="J49" s="47">
        <f t="shared" si="10"/>
        <v>0</v>
      </c>
      <c r="K49" s="50">
        <f t="shared" si="11"/>
        <v>0</v>
      </c>
      <c r="L49" s="63"/>
      <c r="M49" s="64"/>
      <c r="N49" s="51">
        <f t="shared" si="5"/>
        <v>7</v>
      </c>
      <c r="O49" s="19">
        <f t="shared" si="12"/>
        <v>10</v>
      </c>
      <c r="P49" s="20">
        <f t="shared" si="6"/>
        <v>0</v>
      </c>
      <c r="Q49" s="21"/>
      <c r="R49" s="21"/>
      <c r="S49" s="21"/>
      <c r="T49" s="21"/>
      <c r="U49" s="21"/>
      <c r="V49" s="21"/>
      <c r="W49" s="21"/>
      <c r="X49" s="21"/>
      <c r="Y49" s="21"/>
      <c r="Z49" s="21"/>
    </row>
    <row r="50" spans="1:26">
      <c r="A50" s="57">
        <v>43</v>
      </c>
      <c r="B50" s="44" t="str">
        <f t="shared" si="7"/>
        <v>4-й год 7-й мес</v>
      </c>
      <c r="C50" s="45">
        <f t="shared" si="13"/>
        <v>42500</v>
      </c>
      <c r="D50" s="46">
        <f t="shared" si="3"/>
        <v>0</v>
      </c>
      <c r="E50" s="47">
        <f t="shared" si="8"/>
        <v>0</v>
      </c>
      <c r="F50" s="47">
        <f t="shared" si="14"/>
        <v>0</v>
      </c>
      <c r="G50" s="48">
        <f t="shared" si="9"/>
        <v>0</v>
      </c>
      <c r="H50" s="49">
        <f t="shared" si="4"/>
        <v>0</v>
      </c>
      <c r="I50" s="47">
        <f t="shared" si="15"/>
        <v>0</v>
      </c>
      <c r="J50" s="47">
        <f t="shared" si="10"/>
        <v>0</v>
      </c>
      <c r="K50" s="50">
        <f t="shared" si="11"/>
        <v>0</v>
      </c>
      <c r="L50" s="63"/>
      <c r="M50" s="64"/>
      <c r="N50" s="51">
        <f t="shared" si="5"/>
        <v>7</v>
      </c>
      <c r="O50" s="19">
        <f t="shared" si="12"/>
        <v>10</v>
      </c>
      <c r="P50" s="20">
        <f t="shared" si="6"/>
        <v>0</v>
      </c>
      <c r="Q50" s="21"/>
      <c r="R50" s="21"/>
      <c r="S50" s="21"/>
      <c r="T50" s="21"/>
      <c r="U50" s="21"/>
      <c r="V50" s="21"/>
      <c r="W50" s="21"/>
      <c r="X50" s="21"/>
      <c r="Y50" s="21"/>
      <c r="Z50" s="21"/>
    </row>
    <row r="51" spans="1:26">
      <c r="A51" s="57">
        <v>44</v>
      </c>
      <c r="B51" s="44" t="str">
        <f t="shared" si="7"/>
        <v>4-й год 8-й мес</v>
      </c>
      <c r="C51" s="45">
        <f t="shared" si="13"/>
        <v>42531</v>
      </c>
      <c r="D51" s="46">
        <f t="shared" si="3"/>
        <v>0</v>
      </c>
      <c r="E51" s="47">
        <f t="shared" si="8"/>
        <v>0</v>
      </c>
      <c r="F51" s="47">
        <f t="shared" si="14"/>
        <v>0</v>
      </c>
      <c r="G51" s="48">
        <f t="shared" si="9"/>
        <v>0</v>
      </c>
      <c r="H51" s="49">
        <f t="shared" si="4"/>
        <v>0</v>
      </c>
      <c r="I51" s="47">
        <f t="shared" si="15"/>
        <v>0</v>
      </c>
      <c r="J51" s="47">
        <f t="shared" si="10"/>
        <v>0</v>
      </c>
      <c r="K51" s="50">
        <f t="shared" si="11"/>
        <v>0</v>
      </c>
      <c r="L51" s="63"/>
      <c r="M51" s="64"/>
      <c r="N51" s="51">
        <f t="shared" si="5"/>
        <v>7</v>
      </c>
      <c r="O51" s="19">
        <f t="shared" si="12"/>
        <v>10</v>
      </c>
      <c r="P51" s="20">
        <f t="shared" si="6"/>
        <v>0</v>
      </c>
      <c r="Q51" s="21"/>
      <c r="R51" s="21"/>
      <c r="S51" s="21"/>
      <c r="T51" s="21"/>
      <c r="U51" s="21"/>
      <c r="V51" s="21"/>
      <c r="W51" s="21"/>
      <c r="X51" s="21"/>
      <c r="Y51" s="21"/>
      <c r="Z51" s="21"/>
    </row>
    <row r="52" spans="1:26">
      <c r="A52" s="57">
        <v>45</v>
      </c>
      <c r="B52" s="44" t="str">
        <f t="shared" si="7"/>
        <v>4-й год 9-й мес</v>
      </c>
      <c r="C52" s="45">
        <f t="shared" si="13"/>
        <v>42561</v>
      </c>
      <c r="D52" s="46">
        <f t="shared" si="3"/>
        <v>0</v>
      </c>
      <c r="E52" s="47">
        <f t="shared" si="8"/>
        <v>0</v>
      </c>
      <c r="F52" s="47">
        <f t="shared" si="14"/>
        <v>0</v>
      </c>
      <c r="G52" s="48">
        <f t="shared" si="9"/>
        <v>0</v>
      </c>
      <c r="H52" s="49">
        <f t="shared" si="4"/>
        <v>0</v>
      </c>
      <c r="I52" s="47">
        <f t="shared" si="15"/>
        <v>0</v>
      </c>
      <c r="J52" s="47">
        <f t="shared" si="10"/>
        <v>0</v>
      </c>
      <c r="K52" s="50">
        <f t="shared" si="11"/>
        <v>0</v>
      </c>
      <c r="L52" s="63"/>
      <c r="M52" s="64"/>
      <c r="N52" s="51">
        <f t="shared" si="5"/>
        <v>7</v>
      </c>
      <c r="O52" s="19">
        <f t="shared" si="12"/>
        <v>10</v>
      </c>
      <c r="P52" s="20">
        <f t="shared" si="6"/>
        <v>0</v>
      </c>
      <c r="Q52" s="21"/>
      <c r="R52" s="21"/>
      <c r="S52" s="21"/>
      <c r="T52" s="21"/>
      <c r="U52" s="21"/>
      <c r="V52" s="21"/>
      <c r="W52" s="21"/>
      <c r="X52" s="21"/>
      <c r="Y52" s="21"/>
      <c r="Z52" s="21"/>
    </row>
    <row r="53" spans="1:26">
      <c r="A53" s="57">
        <v>46</v>
      </c>
      <c r="B53" s="44" t="str">
        <f t="shared" si="7"/>
        <v>4-й год 10-й мес</v>
      </c>
      <c r="C53" s="45">
        <f t="shared" si="13"/>
        <v>42592</v>
      </c>
      <c r="D53" s="46">
        <f t="shared" si="3"/>
        <v>0</v>
      </c>
      <c r="E53" s="47">
        <f t="shared" si="8"/>
        <v>0</v>
      </c>
      <c r="F53" s="47">
        <f t="shared" si="14"/>
        <v>0</v>
      </c>
      <c r="G53" s="48">
        <f t="shared" si="9"/>
        <v>0</v>
      </c>
      <c r="H53" s="49">
        <f t="shared" si="4"/>
        <v>0</v>
      </c>
      <c r="I53" s="47">
        <f t="shared" si="15"/>
        <v>0</v>
      </c>
      <c r="J53" s="47">
        <f t="shared" si="10"/>
        <v>0</v>
      </c>
      <c r="K53" s="50">
        <f t="shared" si="11"/>
        <v>0</v>
      </c>
      <c r="L53" s="63"/>
      <c r="M53" s="64"/>
      <c r="N53" s="51">
        <f t="shared" si="5"/>
        <v>7</v>
      </c>
      <c r="O53" s="19">
        <f t="shared" si="12"/>
        <v>10</v>
      </c>
      <c r="P53" s="20">
        <f t="shared" si="6"/>
        <v>0</v>
      </c>
      <c r="Q53" s="21"/>
      <c r="R53" s="21"/>
      <c r="S53" s="21"/>
      <c r="T53" s="21"/>
      <c r="U53" s="21"/>
      <c r="V53" s="21"/>
      <c r="W53" s="21"/>
      <c r="X53" s="21"/>
      <c r="Y53" s="21"/>
      <c r="Z53" s="21"/>
    </row>
    <row r="54" spans="1:26">
      <c r="A54" s="57">
        <v>47</v>
      </c>
      <c r="B54" s="44" t="str">
        <f t="shared" si="7"/>
        <v>4-й год 11-й мес</v>
      </c>
      <c r="C54" s="45">
        <f t="shared" si="13"/>
        <v>42623</v>
      </c>
      <c r="D54" s="46">
        <f t="shared" si="3"/>
        <v>0</v>
      </c>
      <c r="E54" s="47">
        <f t="shared" si="8"/>
        <v>0</v>
      </c>
      <c r="F54" s="47">
        <f t="shared" si="14"/>
        <v>0</v>
      </c>
      <c r="G54" s="48">
        <f t="shared" si="9"/>
        <v>0</v>
      </c>
      <c r="H54" s="49">
        <f t="shared" si="4"/>
        <v>0</v>
      </c>
      <c r="I54" s="47">
        <f t="shared" si="15"/>
        <v>0</v>
      </c>
      <c r="J54" s="47">
        <f t="shared" si="10"/>
        <v>0</v>
      </c>
      <c r="K54" s="50">
        <f t="shared" si="11"/>
        <v>0</v>
      </c>
      <c r="L54" s="63"/>
      <c r="M54" s="64"/>
      <c r="N54" s="51">
        <f t="shared" si="5"/>
        <v>7</v>
      </c>
      <c r="O54" s="19">
        <f t="shared" si="12"/>
        <v>10</v>
      </c>
      <c r="P54" s="20">
        <f t="shared" si="6"/>
        <v>0</v>
      </c>
      <c r="Q54" s="21"/>
      <c r="R54" s="21"/>
      <c r="S54" s="21"/>
      <c r="T54" s="21"/>
      <c r="U54" s="21"/>
      <c r="V54" s="21"/>
      <c r="W54" s="21"/>
      <c r="X54" s="21"/>
      <c r="Y54" s="21"/>
      <c r="Z54" s="21"/>
    </row>
    <row r="55" spans="1:26">
      <c r="A55" s="58">
        <v>48</v>
      </c>
      <c r="B55" s="44" t="str">
        <f t="shared" si="7"/>
        <v>4-й год 12-й мес</v>
      </c>
      <c r="C55" s="45">
        <f t="shared" si="13"/>
        <v>42653</v>
      </c>
      <c r="D55" s="46">
        <f t="shared" si="3"/>
        <v>0</v>
      </c>
      <c r="E55" s="59">
        <f t="shared" si="8"/>
        <v>0</v>
      </c>
      <c r="F55" s="47">
        <f t="shared" si="14"/>
        <v>0</v>
      </c>
      <c r="G55" s="60">
        <f t="shared" si="9"/>
        <v>0</v>
      </c>
      <c r="H55" s="61">
        <f t="shared" si="4"/>
        <v>0</v>
      </c>
      <c r="I55" s="59">
        <f t="shared" si="15"/>
        <v>0</v>
      </c>
      <c r="J55" s="59">
        <f t="shared" si="10"/>
        <v>0</v>
      </c>
      <c r="K55" s="62">
        <f t="shared" si="11"/>
        <v>0</v>
      </c>
      <c r="L55" s="66"/>
      <c r="M55" s="64"/>
      <c r="N55" s="51">
        <f t="shared" si="5"/>
        <v>7</v>
      </c>
      <c r="O55" s="19">
        <f t="shared" si="12"/>
        <v>10</v>
      </c>
      <c r="P55" s="20">
        <f t="shared" si="6"/>
        <v>0</v>
      </c>
      <c r="Q55" s="21"/>
      <c r="R55" s="21"/>
      <c r="S55" s="21"/>
      <c r="T55" s="21"/>
      <c r="U55" s="21"/>
      <c r="V55" s="21"/>
      <c r="W55" s="21"/>
      <c r="X55" s="21"/>
      <c r="Y55" s="21"/>
      <c r="Z55" s="21"/>
    </row>
    <row r="56" spans="1:26">
      <c r="A56" s="43">
        <v>49</v>
      </c>
      <c r="B56" s="44" t="str">
        <f t="shared" si="7"/>
        <v>5-й год 1-й мес</v>
      </c>
      <c r="C56" s="45">
        <f t="shared" si="13"/>
        <v>42684</v>
      </c>
      <c r="D56" s="46">
        <f t="shared" si="3"/>
        <v>0</v>
      </c>
      <c r="E56" s="47">
        <f t="shared" si="8"/>
        <v>0</v>
      </c>
      <c r="F56" s="47">
        <f t="shared" si="14"/>
        <v>0</v>
      </c>
      <c r="G56" s="48">
        <f>G55-E56-L56-M56</f>
        <v>0</v>
      </c>
      <c r="H56" s="49">
        <f t="shared" si="4"/>
        <v>0</v>
      </c>
      <c r="I56" s="47">
        <f t="shared" si="15"/>
        <v>0</v>
      </c>
      <c r="J56" s="47">
        <f t="shared" si="10"/>
        <v>0</v>
      </c>
      <c r="K56" s="50">
        <f>K55-I56-L56-M56</f>
        <v>0</v>
      </c>
      <c r="L56" s="63"/>
      <c r="M56" s="64"/>
      <c r="N56" s="51">
        <f t="shared" si="5"/>
        <v>7</v>
      </c>
      <c r="O56" s="19">
        <f t="shared" si="12"/>
        <v>10</v>
      </c>
      <c r="P56" s="20">
        <f t="shared" si="6"/>
        <v>0</v>
      </c>
      <c r="Q56" s="21"/>
      <c r="R56" s="21"/>
      <c r="S56" s="21"/>
      <c r="T56" s="21"/>
      <c r="U56" s="21"/>
      <c r="V56" s="21"/>
      <c r="W56" s="21"/>
      <c r="X56" s="21"/>
      <c r="Y56" s="21"/>
      <c r="Z56" s="21"/>
    </row>
    <row r="57" spans="1:26">
      <c r="A57" s="43">
        <v>50</v>
      </c>
      <c r="B57" s="44" t="str">
        <f t="shared" si="7"/>
        <v>5-й год 2-й мес</v>
      </c>
      <c r="C57" s="45">
        <f t="shared" si="13"/>
        <v>42714</v>
      </c>
      <c r="D57" s="46">
        <f t="shared" si="3"/>
        <v>0</v>
      </c>
      <c r="E57" s="47">
        <f t="shared" si="8"/>
        <v>0</v>
      </c>
      <c r="F57" s="47">
        <f t="shared" si="14"/>
        <v>0</v>
      </c>
      <c r="G57" s="48">
        <f t="shared" si="9"/>
        <v>0</v>
      </c>
      <c r="H57" s="49">
        <f t="shared" si="4"/>
        <v>0</v>
      </c>
      <c r="I57" s="47">
        <f t="shared" si="15"/>
        <v>0</v>
      </c>
      <c r="J57" s="47">
        <f t="shared" si="10"/>
        <v>0</v>
      </c>
      <c r="K57" s="50">
        <f t="shared" si="11"/>
        <v>0</v>
      </c>
      <c r="L57" s="63"/>
      <c r="M57" s="64"/>
      <c r="N57" s="51">
        <f t="shared" si="5"/>
        <v>7</v>
      </c>
      <c r="O57" s="19">
        <f t="shared" si="12"/>
        <v>10</v>
      </c>
      <c r="P57" s="20">
        <f t="shared" si="6"/>
        <v>0</v>
      </c>
      <c r="Q57" s="21"/>
      <c r="R57" s="21"/>
      <c r="S57" s="21"/>
      <c r="T57" s="21"/>
      <c r="U57" s="21"/>
      <c r="V57" s="21"/>
      <c r="W57" s="21"/>
      <c r="X57" s="21"/>
      <c r="Y57" s="21"/>
      <c r="Z57" s="21"/>
    </row>
    <row r="58" spans="1:26">
      <c r="A58" s="43">
        <v>51</v>
      </c>
      <c r="B58" s="44" t="str">
        <f t="shared" si="7"/>
        <v>5-й год 3-й мес</v>
      </c>
      <c r="C58" s="45">
        <f t="shared" si="13"/>
        <v>42745</v>
      </c>
      <c r="D58" s="46">
        <f t="shared" si="3"/>
        <v>0</v>
      </c>
      <c r="E58" s="47">
        <f t="shared" si="8"/>
        <v>0</v>
      </c>
      <c r="F58" s="47">
        <f t="shared" si="14"/>
        <v>0</v>
      </c>
      <c r="G58" s="48">
        <f t="shared" si="9"/>
        <v>0</v>
      </c>
      <c r="H58" s="49">
        <f t="shared" si="4"/>
        <v>0</v>
      </c>
      <c r="I58" s="47">
        <f t="shared" si="15"/>
        <v>0</v>
      </c>
      <c r="J58" s="47">
        <f t="shared" si="10"/>
        <v>0</v>
      </c>
      <c r="K58" s="50">
        <f t="shared" si="11"/>
        <v>0</v>
      </c>
      <c r="L58" s="63"/>
      <c r="M58" s="64"/>
      <c r="N58" s="51">
        <f t="shared" si="5"/>
        <v>7</v>
      </c>
      <c r="O58" s="19">
        <f t="shared" si="12"/>
        <v>10</v>
      </c>
      <c r="P58" s="20">
        <f t="shared" si="6"/>
        <v>0</v>
      </c>
      <c r="Q58" s="21"/>
      <c r="R58" s="21"/>
      <c r="S58" s="21"/>
      <c r="T58" s="21"/>
      <c r="U58" s="21"/>
      <c r="V58" s="21"/>
      <c r="W58" s="21"/>
      <c r="X58" s="21"/>
      <c r="Y58" s="21"/>
      <c r="Z58" s="21"/>
    </row>
    <row r="59" spans="1:26">
      <c r="A59" s="43">
        <v>52</v>
      </c>
      <c r="B59" s="44" t="str">
        <f t="shared" si="7"/>
        <v>5-й год 4-й мес</v>
      </c>
      <c r="C59" s="45">
        <f t="shared" si="13"/>
        <v>42776</v>
      </c>
      <c r="D59" s="46">
        <f t="shared" si="3"/>
        <v>0</v>
      </c>
      <c r="E59" s="47">
        <f t="shared" si="8"/>
        <v>0</v>
      </c>
      <c r="F59" s="47">
        <f t="shared" si="14"/>
        <v>0</v>
      </c>
      <c r="G59" s="48">
        <f t="shared" si="9"/>
        <v>0</v>
      </c>
      <c r="H59" s="49">
        <f t="shared" si="4"/>
        <v>0</v>
      </c>
      <c r="I59" s="47">
        <f t="shared" si="15"/>
        <v>0</v>
      </c>
      <c r="J59" s="47">
        <f t="shared" si="10"/>
        <v>0</v>
      </c>
      <c r="K59" s="50">
        <f t="shared" si="11"/>
        <v>0</v>
      </c>
      <c r="L59" s="63"/>
      <c r="M59" s="64"/>
      <c r="N59" s="51">
        <f t="shared" si="5"/>
        <v>7</v>
      </c>
      <c r="O59" s="19">
        <f t="shared" si="12"/>
        <v>10</v>
      </c>
      <c r="P59" s="20">
        <f t="shared" si="6"/>
        <v>0</v>
      </c>
      <c r="Q59" s="21"/>
      <c r="R59" s="21"/>
      <c r="S59" s="21"/>
      <c r="T59" s="21"/>
      <c r="U59" s="21"/>
      <c r="V59" s="21"/>
      <c r="W59" s="21"/>
      <c r="X59" s="21"/>
      <c r="Y59" s="21"/>
      <c r="Z59" s="21"/>
    </row>
    <row r="60" spans="1:26">
      <c r="A60" s="43">
        <v>53</v>
      </c>
      <c r="B60" s="44" t="str">
        <f t="shared" si="7"/>
        <v>5-й год 5-й мес</v>
      </c>
      <c r="C60" s="45">
        <f t="shared" si="13"/>
        <v>42804</v>
      </c>
      <c r="D60" s="46">
        <f t="shared" si="3"/>
        <v>0</v>
      </c>
      <c r="E60" s="47">
        <f t="shared" si="8"/>
        <v>0</v>
      </c>
      <c r="F60" s="47">
        <f t="shared" si="14"/>
        <v>0</v>
      </c>
      <c r="G60" s="48">
        <f t="shared" si="9"/>
        <v>0</v>
      </c>
      <c r="H60" s="49">
        <f t="shared" si="4"/>
        <v>0</v>
      </c>
      <c r="I60" s="47">
        <f t="shared" si="15"/>
        <v>0</v>
      </c>
      <c r="J60" s="47">
        <f t="shared" si="10"/>
        <v>0</v>
      </c>
      <c r="K60" s="50">
        <f t="shared" si="11"/>
        <v>0</v>
      </c>
      <c r="L60" s="63"/>
      <c r="M60" s="64"/>
      <c r="N60" s="51">
        <f t="shared" si="5"/>
        <v>7</v>
      </c>
      <c r="O60" s="19">
        <f t="shared" si="12"/>
        <v>10</v>
      </c>
      <c r="P60" s="20">
        <f t="shared" si="6"/>
        <v>0</v>
      </c>
      <c r="Q60" s="21"/>
      <c r="R60" s="21"/>
      <c r="S60" s="21"/>
      <c r="T60" s="21"/>
      <c r="U60" s="21"/>
      <c r="V60" s="21"/>
      <c r="W60" s="21"/>
      <c r="X60" s="21"/>
      <c r="Y60" s="21"/>
      <c r="Z60" s="21"/>
    </row>
    <row r="61" spans="1:26">
      <c r="A61" s="43">
        <v>54</v>
      </c>
      <c r="B61" s="44" t="str">
        <f t="shared" si="7"/>
        <v>5-й год 6-й мес</v>
      </c>
      <c r="C61" s="45">
        <f t="shared" si="13"/>
        <v>42835</v>
      </c>
      <c r="D61" s="46">
        <f t="shared" si="3"/>
        <v>0</v>
      </c>
      <c r="E61" s="47">
        <f t="shared" si="8"/>
        <v>0</v>
      </c>
      <c r="F61" s="47">
        <f t="shared" si="14"/>
        <v>0</v>
      </c>
      <c r="G61" s="48">
        <f t="shared" si="9"/>
        <v>0</v>
      </c>
      <c r="H61" s="49">
        <f t="shared" si="4"/>
        <v>0</v>
      </c>
      <c r="I61" s="47">
        <f t="shared" si="15"/>
        <v>0</v>
      </c>
      <c r="J61" s="47">
        <f t="shared" si="10"/>
        <v>0</v>
      </c>
      <c r="K61" s="50">
        <f t="shared" si="11"/>
        <v>0</v>
      </c>
      <c r="L61" s="63"/>
      <c r="M61" s="64"/>
      <c r="N61" s="51">
        <f t="shared" si="5"/>
        <v>7</v>
      </c>
      <c r="O61" s="19">
        <f t="shared" si="12"/>
        <v>10</v>
      </c>
      <c r="P61" s="20">
        <f t="shared" si="6"/>
        <v>0</v>
      </c>
      <c r="Q61" s="21"/>
      <c r="R61" s="21"/>
      <c r="S61" s="21"/>
      <c r="T61" s="21"/>
      <c r="U61" s="21"/>
      <c r="V61" s="21"/>
      <c r="W61" s="21"/>
      <c r="X61" s="21"/>
      <c r="Y61" s="21"/>
      <c r="Z61" s="21"/>
    </row>
    <row r="62" spans="1:26">
      <c r="A62" s="43">
        <v>55</v>
      </c>
      <c r="B62" s="44" t="str">
        <f t="shared" si="7"/>
        <v>5-й год 7-й мес</v>
      </c>
      <c r="C62" s="45">
        <f t="shared" si="13"/>
        <v>42865</v>
      </c>
      <c r="D62" s="46">
        <f t="shared" si="3"/>
        <v>0</v>
      </c>
      <c r="E62" s="47">
        <f t="shared" si="8"/>
        <v>0</v>
      </c>
      <c r="F62" s="47">
        <f t="shared" si="14"/>
        <v>0</v>
      </c>
      <c r="G62" s="48">
        <f t="shared" si="9"/>
        <v>0</v>
      </c>
      <c r="H62" s="49">
        <f t="shared" si="4"/>
        <v>0</v>
      </c>
      <c r="I62" s="47">
        <f t="shared" si="15"/>
        <v>0</v>
      </c>
      <c r="J62" s="47">
        <f t="shared" si="10"/>
        <v>0</v>
      </c>
      <c r="K62" s="50">
        <f t="shared" si="11"/>
        <v>0</v>
      </c>
      <c r="L62" s="63"/>
      <c r="M62" s="64"/>
      <c r="N62" s="51">
        <f t="shared" si="5"/>
        <v>7</v>
      </c>
      <c r="O62" s="19">
        <f t="shared" si="12"/>
        <v>10</v>
      </c>
      <c r="P62" s="20">
        <f t="shared" si="6"/>
        <v>0</v>
      </c>
      <c r="Q62" s="21"/>
      <c r="R62" s="21"/>
      <c r="S62" s="21"/>
      <c r="T62" s="21"/>
      <c r="U62" s="21"/>
      <c r="V62" s="21"/>
      <c r="W62" s="21"/>
      <c r="X62" s="21"/>
      <c r="Y62" s="21"/>
      <c r="Z62" s="21"/>
    </row>
    <row r="63" spans="1:26">
      <c r="A63" s="43">
        <v>56</v>
      </c>
      <c r="B63" s="44" t="str">
        <f t="shared" si="7"/>
        <v>5-й год 8-й мес</v>
      </c>
      <c r="C63" s="45">
        <f t="shared" si="13"/>
        <v>42896</v>
      </c>
      <c r="D63" s="46">
        <f t="shared" si="3"/>
        <v>0</v>
      </c>
      <c r="E63" s="47">
        <f t="shared" si="8"/>
        <v>0</v>
      </c>
      <c r="F63" s="47">
        <f t="shared" si="14"/>
        <v>0</v>
      </c>
      <c r="G63" s="48">
        <f>G62-E63-L63-M63</f>
        <v>0</v>
      </c>
      <c r="H63" s="49">
        <f t="shared" si="4"/>
        <v>0</v>
      </c>
      <c r="I63" s="47">
        <f t="shared" si="15"/>
        <v>0</v>
      </c>
      <c r="J63" s="47">
        <f t="shared" si="10"/>
        <v>0</v>
      </c>
      <c r="K63" s="50">
        <f>K62-I63-L63-M63</f>
        <v>0</v>
      </c>
      <c r="L63" s="63"/>
      <c r="M63" s="64"/>
      <c r="N63" s="51">
        <f t="shared" si="5"/>
        <v>7</v>
      </c>
      <c r="O63" s="19">
        <f t="shared" si="12"/>
        <v>10</v>
      </c>
      <c r="P63" s="20">
        <f t="shared" si="6"/>
        <v>0</v>
      </c>
      <c r="Q63" s="21"/>
      <c r="R63" s="21"/>
      <c r="S63" s="21"/>
      <c r="T63" s="21"/>
      <c r="U63" s="21"/>
      <c r="V63" s="21"/>
      <c r="W63" s="21"/>
      <c r="X63" s="21"/>
      <c r="Y63" s="21"/>
      <c r="Z63" s="21"/>
    </row>
    <row r="64" spans="1:26">
      <c r="A64" s="43">
        <v>57</v>
      </c>
      <c r="B64" s="44" t="str">
        <f t="shared" si="7"/>
        <v>5-й год 9-й мес</v>
      </c>
      <c r="C64" s="45">
        <f t="shared" si="13"/>
        <v>42926</v>
      </c>
      <c r="D64" s="46">
        <f t="shared" si="3"/>
        <v>0</v>
      </c>
      <c r="E64" s="47">
        <f t="shared" si="8"/>
        <v>0</v>
      </c>
      <c r="F64" s="47">
        <f t="shared" si="14"/>
        <v>0</v>
      </c>
      <c r="G64" s="48">
        <f t="shared" si="9"/>
        <v>0</v>
      </c>
      <c r="H64" s="49">
        <f t="shared" si="4"/>
        <v>0</v>
      </c>
      <c r="I64" s="47">
        <f t="shared" si="15"/>
        <v>0</v>
      </c>
      <c r="J64" s="47">
        <f t="shared" si="10"/>
        <v>0</v>
      </c>
      <c r="K64" s="50">
        <f t="shared" si="11"/>
        <v>0</v>
      </c>
      <c r="L64" s="63"/>
      <c r="M64" s="64"/>
      <c r="N64" s="51">
        <f t="shared" si="5"/>
        <v>7</v>
      </c>
      <c r="O64" s="19">
        <f t="shared" si="12"/>
        <v>10</v>
      </c>
      <c r="P64" s="20">
        <f t="shared" si="6"/>
        <v>0</v>
      </c>
      <c r="Q64" s="21"/>
      <c r="R64" s="21"/>
      <c r="S64" s="21"/>
      <c r="T64" s="21"/>
      <c r="U64" s="21"/>
      <c r="V64" s="21"/>
      <c r="W64" s="21"/>
      <c r="X64" s="21"/>
      <c r="Y64" s="21"/>
      <c r="Z64" s="21"/>
    </row>
    <row r="65" spans="1:26">
      <c r="A65" s="43">
        <v>58</v>
      </c>
      <c r="B65" s="44" t="str">
        <f t="shared" si="7"/>
        <v>5-й год 10-й мес</v>
      </c>
      <c r="C65" s="45">
        <f t="shared" si="13"/>
        <v>42957</v>
      </c>
      <c r="D65" s="46">
        <f t="shared" si="3"/>
        <v>0</v>
      </c>
      <c r="E65" s="47">
        <f t="shared" si="8"/>
        <v>0</v>
      </c>
      <c r="F65" s="47">
        <f t="shared" si="14"/>
        <v>0</v>
      </c>
      <c r="G65" s="48">
        <f t="shared" si="9"/>
        <v>0</v>
      </c>
      <c r="H65" s="49">
        <f t="shared" si="4"/>
        <v>0</v>
      </c>
      <c r="I65" s="47">
        <f t="shared" si="15"/>
        <v>0</v>
      </c>
      <c r="J65" s="47">
        <f t="shared" si="10"/>
        <v>0</v>
      </c>
      <c r="K65" s="50">
        <f t="shared" si="11"/>
        <v>0</v>
      </c>
      <c r="L65" s="63"/>
      <c r="M65" s="64"/>
      <c r="N65" s="51">
        <f t="shared" si="5"/>
        <v>7</v>
      </c>
      <c r="O65" s="19">
        <f t="shared" si="12"/>
        <v>10</v>
      </c>
      <c r="P65" s="20">
        <f t="shared" si="6"/>
        <v>0</v>
      </c>
      <c r="Q65" s="21"/>
      <c r="R65" s="21"/>
      <c r="S65" s="21"/>
      <c r="T65" s="21"/>
      <c r="U65" s="21"/>
      <c r="V65" s="21"/>
      <c r="W65" s="21"/>
      <c r="X65" s="21"/>
      <c r="Y65" s="21"/>
      <c r="Z65" s="21"/>
    </row>
    <row r="66" spans="1:26">
      <c r="A66" s="43">
        <v>59</v>
      </c>
      <c r="B66" s="44" t="str">
        <f t="shared" si="7"/>
        <v>5-й год 11-й мес</v>
      </c>
      <c r="C66" s="45">
        <f t="shared" si="13"/>
        <v>42988</v>
      </c>
      <c r="D66" s="46">
        <f t="shared" si="3"/>
        <v>0</v>
      </c>
      <c r="E66" s="47">
        <f t="shared" si="8"/>
        <v>0</v>
      </c>
      <c r="F66" s="47">
        <f t="shared" si="14"/>
        <v>0</v>
      </c>
      <c r="G66" s="48">
        <f t="shared" si="9"/>
        <v>0</v>
      </c>
      <c r="H66" s="49">
        <f t="shared" si="4"/>
        <v>0</v>
      </c>
      <c r="I66" s="47">
        <f t="shared" si="15"/>
        <v>0</v>
      </c>
      <c r="J66" s="47">
        <f t="shared" si="10"/>
        <v>0</v>
      </c>
      <c r="K66" s="50">
        <f t="shared" si="11"/>
        <v>0</v>
      </c>
      <c r="L66" s="63"/>
      <c r="M66" s="64"/>
      <c r="N66" s="51">
        <f t="shared" si="5"/>
        <v>7</v>
      </c>
      <c r="O66" s="19">
        <f t="shared" si="12"/>
        <v>10</v>
      </c>
      <c r="P66" s="20">
        <f t="shared" si="6"/>
        <v>0</v>
      </c>
      <c r="Q66" s="21"/>
      <c r="R66" s="21"/>
      <c r="S66" s="21"/>
      <c r="T66" s="21"/>
      <c r="U66" s="21"/>
      <c r="V66" s="21"/>
      <c r="W66" s="21"/>
      <c r="X66" s="21"/>
      <c r="Y66" s="21"/>
      <c r="Z66" s="21"/>
    </row>
    <row r="67" spans="1:26">
      <c r="A67" s="43">
        <v>60</v>
      </c>
      <c r="B67" s="44" t="str">
        <f t="shared" si="7"/>
        <v>5-й год 12-й мес</v>
      </c>
      <c r="C67" s="45">
        <f t="shared" si="13"/>
        <v>43018</v>
      </c>
      <c r="D67" s="46">
        <f t="shared" si="3"/>
        <v>0</v>
      </c>
      <c r="E67" s="47">
        <f t="shared" si="8"/>
        <v>0</v>
      </c>
      <c r="F67" s="47">
        <f t="shared" si="14"/>
        <v>0</v>
      </c>
      <c r="G67" s="48">
        <f t="shared" si="9"/>
        <v>0</v>
      </c>
      <c r="H67" s="49">
        <f t="shared" si="4"/>
        <v>0</v>
      </c>
      <c r="I67" s="47">
        <f t="shared" si="15"/>
        <v>0</v>
      </c>
      <c r="J67" s="47">
        <f t="shared" si="10"/>
        <v>0</v>
      </c>
      <c r="K67" s="50">
        <f t="shared" si="11"/>
        <v>0</v>
      </c>
      <c r="L67" s="63"/>
      <c r="M67" s="64"/>
      <c r="N67" s="51">
        <f t="shared" si="5"/>
        <v>7</v>
      </c>
      <c r="O67" s="19">
        <f t="shared" si="12"/>
        <v>10</v>
      </c>
      <c r="P67" s="20">
        <f t="shared" si="6"/>
        <v>0</v>
      </c>
      <c r="Q67" s="21"/>
      <c r="R67" s="21"/>
      <c r="S67" s="21"/>
      <c r="T67" s="21"/>
      <c r="U67" s="21"/>
      <c r="V67" s="21"/>
      <c r="W67" s="21"/>
      <c r="X67" s="21"/>
      <c r="Y67" s="21"/>
      <c r="Z67" s="21"/>
    </row>
    <row r="68" spans="1:26">
      <c r="A68" s="52">
        <v>61</v>
      </c>
      <c r="B68" s="44" t="str">
        <f t="shared" si="7"/>
        <v>6-й год 1-й мес</v>
      </c>
      <c r="C68" s="45">
        <f t="shared" si="13"/>
        <v>43049</v>
      </c>
      <c r="D68" s="46">
        <f t="shared" si="3"/>
        <v>0</v>
      </c>
      <c r="E68" s="53">
        <f t="shared" si="8"/>
        <v>0</v>
      </c>
      <c r="F68" s="47">
        <f t="shared" si="14"/>
        <v>0</v>
      </c>
      <c r="G68" s="54">
        <f t="shared" si="9"/>
        <v>0</v>
      </c>
      <c r="H68" s="55">
        <f t="shared" si="4"/>
        <v>0</v>
      </c>
      <c r="I68" s="53">
        <f t="shared" si="15"/>
        <v>0</v>
      </c>
      <c r="J68" s="53">
        <f t="shared" si="10"/>
        <v>0</v>
      </c>
      <c r="K68" s="56">
        <f t="shared" si="11"/>
        <v>0</v>
      </c>
      <c r="L68" s="65"/>
      <c r="M68" s="64"/>
      <c r="N68" s="51">
        <f t="shared" si="5"/>
        <v>7</v>
      </c>
      <c r="O68" s="19">
        <f t="shared" si="12"/>
        <v>10</v>
      </c>
      <c r="P68" s="20">
        <f t="shared" si="6"/>
        <v>0</v>
      </c>
      <c r="Q68" s="21"/>
      <c r="R68" s="21"/>
      <c r="S68" s="21"/>
      <c r="T68" s="21"/>
      <c r="U68" s="21"/>
      <c r="V68" s="21"/>
      <c r="W68" s="21"/>
      <c r="X68" s="21"/>
      <c r="Y68" s="21"/>
      <c r="Z68" s="21"/>
    </row>
    <row r="69" spans="1:26">
      <c r="A69" s="57">
        <v>62</v>
      </c>
      <c r="B69" s="44" t="str">
        <f t="shared" si="7"/>
        <v>6-й год 2-й мес</v>
      </c>
      <c r="C69" s="45">
        <f t="shared" si="13"/>
        <v>43079</v>
      </c>
      <c r="D69" s="46">
        <f t="shared" si="3"/>
        <v>0</v>
      </c>
      <c r="E69" s="47">
        <f t="shared" si="8"/>
        <v>0</v>
      </c>
      <c r="F69" s="47">
        <f t="shared" si="14"/>
        <v>0</v>
      </c>
      <c r="G69" s="48">
        <f t="shared" si="9"/>
        <v>0</v>
      </c>
      <c r="H69" s="49">
        <f t="shared" si="4"/>
        <v>0</v>
      </c>
      <c r="I69" s="47">
        <f t="shared" si="15"/>
        <v>0</v>
      </c>
      <c r="J69" s="47">
        <f t="shared" si="10"/>
        <v>0</v>
      </c>
      <c r="K69" s="50">
        <f t="shared" si="11"/>
        <v>0</v>
      </c>
      <c r="L69" s="63"/>
      <c r="M69" s="64"/>
      <c r="N69" s="51">
        <f t="shared" si="5"/>
        <v>7</v>
      </c>
      <c r="O69" s="19">
        <f t="shared" si="12"/>
        <v>10</v>
      </c>
      <c r="P69" s="20">
        <f t="shared" si="6"/>
        <v>0</v>
      </c>
      <c r="Q69" s="21"/>
      <c r="R69" s="21"/>
      <c r="S69" s="21"/>
      <c r="T69" s="21"/>
      <c r="U69" s="21"/>
      <c r="V69" s="21"/>
      <c r="W69" s="21"/>
      <c r="X69" s="21"/>
      <c r="Y69" s="21"/>
      <c r="Z69" s="21"/>
    </row>
    <row r="70" spans="1:26">
      <c r="A70" s="57">
        <v>63</v>
      </c>
      <c r="B70" s="44" t="str">
        <f t="shared" si="7"/>
        <v>6-й год 3-й мес</v>
      </c>
      <c r="C70" s="45">
        <f t="shared" si="13"/>
        <v>43110</v>
      </c>
      <c r="D70" s="46">
        <f t="shared" si="3"/>
        <v>0</v>
      </c>
      <c r="E70" s="47">
        <f t="shared" si="8"/>
        <v>0</v>
      </c>
      <c r="F70" s="47">
        <f t="shared" si="14"/>
        <v>0</v>
      </c>
      <c r="G70" s="48">
        <f t="shared" si="9"/>
        <v>0</v>
      </c>
      <c r="H70" s="49">
        <f t="shared" si="4"/>
        <v>0</v>
      </c>
      <c r="I70" s="47">
        <f t="shared" si="15"/>
        <v>0</v>
      </c>
      <c r="J70" s="47">
        <f t="shared" si="10"/>
        <v>0</v>
      </c>
      <c r="K70" s="50">
        <f t="shared" si="11"/>
        <v>0</v>
      </c>
      <c r="L70" s="63"/>
      <c r="M70" s="64"/>
      <c r="N70" s="51">
        <f t="shared" si="5"/>
        <v>7</v>
      </c>
      <c r="O70" s="19">
        <f t="shared" si="12"/>
        <v>10</v>
      </c>
      <c r="P70" s="20">
        <f t="shared" si="6"/>
        <v>0</v>
      </c>
      <c r="Q70" s="21"/>
      <c r="R70" s="21"/>
      <c r="S70" s="21"/>
      <c r="T70" s="21"/>
      <c r="U70" s="21"/>
      <c r="V70" s="21"/>
      <c r="W70" s="21"/>
      <c r="X70" s="21"/>
      <c r="Y70" s="21"/>
      <c r="Z70" s="21"/>
    </row>
    <row r="71" spans="1:26">
      <c r="A71" s="57">
        <v>64</v>
      </c>
      <c r="B71" s="44" t="str">
        <f t="shared" si="7"/>
        <v>6-й год 4-й мес</v>
      </c>
      <c r="C71" s="45">
        <f t="shared" si="13"/>
        <v>43141</v>
      </c>
      <c r="D71" s="46">
        <f t="shared" si="3"/>
        <v>0</v>
      </c>
      <c r="E71" s="47">
        <f t="shared" si="8"/>
        <v>0</v>
      </c>
      <c r="F71" s="47">
        <f t="shared" si="14"/>
        <v>0</v>
      </c>
      <c r="G71" s="48">
        <f t="shared" si="9"/>
        <v>0</v>
      </c>
      <c r="H71" s="49">
        <f t="shared" si="4"/>
        <v>0</v>
      </c>
      <c r="I71" s="47">
        <f t="shared" si="15"/>
        <v>0</v>
      </c>
      <c r="J71" s="47">
        <f t="shared" si="10"/>
        <v>0</v>
      </c>
      <c r="K71" s="50">
        <f t="shared" si="11"/>
        <v>0</v>
      </c>
      <c r="L71" s="63"/>
      <c r="M71" s="64"/>
      <c r="N71" s="51">
        <f t="shared" si="5"/>
        <v>7</v>
      </c>
      <c r="O71" s="19">
        <f t="shared" si="12"/>
        <v>10</v>
      </c>
      <c r="P71" s="20">
        <f t="shared" si="6"/>
        <v>0</v>
      </c>
      <c r="Q71" s="21"/>
      <c r="R71" s="21"/>
      <c r="S71" s="21"/>
      <c r="T71" s="21"/>
      <c r="U71" s="21"/>
      <c r="V71" s="21"/>
      <c r="W71" s="21"/>
      <c r="X71" s="21"/>
      <c r="Y71" s="21"/>
      <c r="Z71" s="21"/>
    </row>
    <row r="72" spans="1:26">
      <c r="A72" s="57">
        <v>65</v>
      </c>
      <c r="B72" s="44" t="str">
        <f t="shared" si="7"/>
        <v>6-й год 5-й мес</v>
      </c>
      <c r="C72" s="45">
        <f t="shared" si="13"/>
        <v>43169</v>
      </c>
      <c r="D72" s="46">
        <f t="shared" ref="D72:D135" si="16">IF(P72*$D$2/100/12/(1-(1+$D$2/100/12)^(-O72))&lt;G71,ROUNDUP(P72*$D$2/100/12/(1-(1+$D$2/100/12)^(-O72)),0),G71+F72)</f>
        <v>0</v>
      </c>
      <c r="E72" s="47">
        <f t="shared" si="8"/>
        <v>0</v>
      </c>
      <c r="F72" s="47">
        <f t="shared" si="14"/>
        <v>0</v>
      </c>
      <c r="G72" s="48">
        <f t="shared" si="9"/>
        <v>0</v>
      </c>
      <c r="H72" s="49">
        <f t="shared" ref="H72:H135" si="17">I72+J72</f>
        <v>0</v>
      </c>
      <c r="I72" s="47">
        <f t="shared" si="15"/>
        <v>0</v>
      </c>
      <c r="J72" s="47">
        <f t="shared" si="10"/>
        <v>0</v>
      </c>
      <c r="K72" s="50">
        <f t="shared" si="11"/>
        <v>0</v>
      </c>
      <c r="L72" s="63"/>
      <c r="M72" s="64"/>
      <c r="N72" s="51">
        <f t="shared" ref="N72:N135" si="18">IF(ISBLANK(L71),VALUE(N71),ROW(L71))</f>
        <v>7</v>
      </c>
      <c r="O72" s="19">
        <f t="shared" si="12"/>
        <v>10</v>
      </c>
      <c r="P72" s="20">
        <f t="shared" ref="P72:P135" si="19">INDEX(G:G,N72,1)</f>
        <v>0</v>
      </c>
      <c r="Q72" s="21"/>
      <c r="R72" s="21"/>
      <c r="S72" s="21"/>
      <c r="T72" s="21"/>
      <c r="U72" s="21"/>
      <c r="V72" s="21"/>
      <c r="W72" s="21"/>
      <c r="X72" s="21"/>
      <c r="Y72" s="21"/>
      <c r="Z72" s="21"/>
    </row>
    <row r="73" spans="1:26">
      <c r="A73" s="57">
        <v>66</v>
      </c>
      <c r="B73" s="44" t="str">
        <f t="shared" ref="B73:B136" si="20">CONCATENATE(INT((A73-1)/12)+1,"-й год ",A73-1-INT((A73-1)/12)*12+1,"-й мес")</f>
        <v>6-й год 6-й мес</v>
      </c>
      <c r="C73" s="45">
        <f t="shared" si="13"/>
        <v>43200</v>
      </c>
      <c r="D73" s="46">
        <f t="shared" si="16"/>
        <v>0</v>
      </c>
      <c r="E73" s="47">
        <f t="shared" ref="E73:E136" si="21">D73-F73</f>
        <v>0</v>
      </c>
      <c r="F73" s="47">
        <f t="shared" si="14"/>
        <v>0</v>
      </c>
      <c r="G73" s="48">
        <f t="shared" ref="G73:G136" si="22">G72-E73-L73-M73</f>
        <v>0</v>
      </c>
      <c r="H73" s="49">
        <f t="shared" si="17"/>
        <v>0</v>
      </c>
      <c r="I73" s="47">
        <f t="shared" si="15"/>
        <v>0</v>
      </c>
      <c r="J73" s="47">
        <f t="shared" ref="J73:J136" si="23">K72*$D$2/12/100</f>
        <v>0</v>
      </c>
      <c r="K73" s="50">
        <f t="shared" ref="K73:K136" si="24">K72-I73-L73-M73</f>
        <v>0</v>
      </c>
      <c r="L73" s="63"/>
      <c r="M73" s="64"/>
      <c r="N73" s="51">
        <f t="shared" si="18"/>
        <v>7</v>
      </c>
      <c r="O73" s="19">
        <f t="shared" ref="O73:O136" si="25">O72+N72-N73</f>
        <v>10</v>
      </c>
      <c r="P73" s="20">
        <f t="shared" si="19"/>
        <v>0</v>
      </c>
      <c r="Q73" s="21"/>
      <c r="R73" s="21"/>
      <c r="S73" s="21"/>
      <c r="T73" s="21"/>
      <c r="U73" s="21"/>
      <c r="V73" s="21"/>
      <c r="W73" s="21"/>
      <c r="X73" s="21"/>
      <c r="Y73" s="21"/>
      <c r="Z73" s="21"/>
    </row>
    <row r="74" spans="1:26">
      <c r="A74" s="57">
        <v>67</v>
      </c>
      <c r="B74" s="44" t="str">
        <f t="shared" si="20"/>
        <v>6-й год 7-й мес</v>
      </c>
      <c r="C74" s="45">
        <f t="shared" ref="C74:C137" si="26">DATE(YEAR(C73),MONTH(C73)+1,DAY(C73))</f>
        <v>43230</v>
      </c>
      <c r="D74" s="46">
        <f t="shared" si="16"/>
        <v>0</v>
      </c>
      <c r="E74" s="47">
        <f t="shared" si="21"/>
        <v>0</v>
      </c>
      <c r="F74" s="47">
        <f t="shared" ref="F74:F137" si="27">G73*$D$2*(C74-C73)/(DATE(YEAR(C74)+1,1,1)-DATE(YEAR(C74),1,1))/100</f>
        <v>0</v>
      </c>
      <c r="G74" s="48">
        <f t="shared" si="22"/>
        <v>0</v>
      </c>
      <c r="H74" s="49">
        <f t="shared" si="17"/>
        <v>0</v>
      </c>
      <c r="I74" s="47">
        <f t="shared" ref="I74:I137" si="28">IF($D$1/$D$3&lt;K73,$D$1/$D$3,K73)</f>
        <v>0</v>
      </c>
      <c r="J74" s="47">
        <f t="shared" si="23"/>
        <v>0</v>
      </c>
      <c r="K74" s="50">
        <f t="shared" si="24"/>
        <v>0</v>
      </c>
      <c r="L74" s="63"/>
      <c r="M74" s="64"/>
      <c r="N74" s="51">
        <f t="shared" si="18"/>
        <v>7</v>
      </c>
      <c r="O74" s="19">
        <f t="shared" si="25"/>
        <v>10</v>
      </c>
      <c r="P74" s="20">
        <f t="shared" si="19"/>
        <v>0</v>
      </c>
      <c r="Q74" s="21"/>
      <c r="R74" s="21"/>
      <c r="S74" s="21"/>
      <c r="T74" s="21"/>
      <c r="U74" s="21"/>
      <c r="V74" s="21"/>
      <c r="W74" s="21"/>
      <c r="X74" s="21"/>
      <c r="Y74" s="21"/>
      <c r="Z74" s="21"/>
    </row>
    <row r="75" spans="1:26">
      <c r="A75" s="57">
        <v>68</v>
      </c>
      <c r="B75" s="44" t="str">
        <f t="shared" si="20"/>
        <v>6-й год 8-й мес</v>
      </c>
      <c r="C75" s="45">
        <f t="shared" si="26"/>
        <v>43261</v>
      </c>
      <c r="D75" s="46">
        <f t="shared" si="16"/>
        <v>0</v>
      </c>
      <c r="E75" s="47">
        <f t="shared" si="21"/>
        <v>0</v>
      </c>
      <c r="F75" s="47">
        <f t="shared" si="27"/>
        <v>0</v>
      </c>
      <c r="G75" s="48">
        <f t="shared" si="22"/>
        <v>0</v>
      </c>
      <c r="H75" s="49">
        <f t="shared" si="17"/>
        <v>0</v>
      </c>
      <c r="I75" s="47">
        <f t="shared" si="28"/>
        <v>0</v>
      </c>
      <c r="J75" s="47">
        <f t="shared" si="23"/>
        <v>0</v>
      </c>
      <c r="K75" s="50">
        <f t="shared" si="24"/>
        <v>0</v>
      </c>
      <c r="L75" s="63"/>
      <c r="M75" s="64"/>
      <c r="N75" s="51">
        <f t="shared" si="18"/>
        <v>7</v>
      </c>
      <c r="O75" s="19">
        <f t="shared" si="25"/>
        <v>10</v>
      </c>
      <c r="P75" s="20">
        <f t="shared" si="19"/>
        <v>0</v>
      </c>
      <c r="Q75" s="21"/>
      <c r="R75" s="21"/>
      <c r="S75" s="21"/>
      <c r="T75" s="21"/>
      <c r="U75" s="21"/>
      <c r="V75" s="21"/>
      <c r="W75" s="21"/>
      <c r="X75" s="21"/>
      <c r="Y75" s="21"/>
      <c r="Z75" s="21"/>
    </row>
    <row r="76" spans="1:26">
      <c r="A76" s="57">
        <v>69</v>
      </c>
      <c r="B76" s="44" t="str">
        <f t="shared" si="20"/>
        <v>6-й год 9-й мес</v>
      </c>
      <c r="C76" s="45">
        <f t="shared" si="26"/>
        <v>43291</v>
      </c>
      <c r="D76" s="46">
        <f t="shared" si="16"/>
        <v>0</v>
      </c>
      <c r="E76" s="47">
        <f t="shared" si="21"/>
        <v>0</v>
      </c>
      <c r="F76" s="47">
        <f t="shared" si="27"/>
        <v>0</v>
      </c>
      <c r="G76" s="48">
        <f t="shared" si="22"/>
        <v>0</v>
      </c>
      <c r="H76" s="49">
        <f t="shared" si="17"/>
        <v>0</v>
      </c>
      <c r="I76" s="47">
        <f t="shared" si="28"/>
        <v>0</v>
      </c>
      <c r="J76" s="47">
        <f t="shared" si="23"/>
        <v>0</v>
      </c>
      <c r="K76" s="50">
        <f t="shared" si="24"/>
        <v>0</v>
      </c>
      <c r="L76" s="63"/>
      <c r="M76" s="64"/>
      <c r="N76" s="51">
        <f t="shared" si="18"/>
        <v>7</v>
      </c>
      <c r="O76" s="19">
        <f t="shared" si="25"/>
        <v>10</v>
      </c>
      <c r="P76" s="20">
        <f t="shared" si="19"/>
        <v>0</v>
      </c>
      <c r="Q76" s="21"/>
      <c r="R76" s="21"/>
      <c r="S76" s="21"/>
      <c r="T76" s="21"/>
      <c r="U76" s="21"/>
      <c r="V76" s="21"/>
      <c r="W76" s="21"/>
      <c r="X76" s="21"/>
      <c r="Y76" s="21"/>
      <c r="Z76" s="21"/>
    </row>
    <row r="77" spans="1:26">
      <c r="A77" s="57">
        <v>70</v>
      </c>
      <c r="B77" s="44" t="str">
        <f t="shared" si="20"/>
        <v>6-й год 10-й мес</v>
      </c>
      <c r="C77" s="45">
        <f t="shared" si="26"/>
        <v>43322</v>
      </c>
      <c r="D77" s="46">
        <f t="shared" si="16"/>
        <v>0</v>
      </c>
      <c r="E77" s="47">
        <f t="shared" si="21"/>
        <v>0</v>
      </c>
      <c r="F77" s="47">
        <f t="shared" si="27"/>
        <v>0</v>
      </c>
      <c r="G77" s="48">
        <f t="shared" si="22"/>
        <v>0</v>
      </c>
      <c r="H77" s="49">
        <f t="shared" si="17"/>
        <v>0</v>
      </c>
      <c r="I77" s="47">
        <f t="shared" si="28"/>
        <v>0</v>
      </c>
      <c r="J77" s="47">
        <f t="shared" si="23"/>
        <v>0</v>
      </c>
      <c r="K77" s="50">
        <f t="shared" si="24"/>
        <v>0</v>
      </c>
      <c r="L77" s="63"/>
      <c r="M77" s="64"/>
      <c r="N77" s="51">
        <f t="shared" si="18"/>
        <v>7</v>
      </c>
      <c r="O77" s="19">
        <f t="shared" si="25"/>
        <v>10</v>
      </c>
      <c r="P77" s="20">
        <f t="shared" si="19"/>
        <v>0</v>
      </c>
      <c r="Q77" s="21"/>
      <c r="R77" s="21"/>
      <c r="S77" s="21"/>
      <c r="T77" s="21"/>
      <c r="U77" s="21"/>
      <c r="V77" s="21"/>
      <c r="W77" s="21"/>
      <c r="X77" s="21"/>
      <c r="Y77" s="21"/>
      <c r="Z77" s="21"/>
    </row>
    <row r="78" spans="1:26">
      <c r="A78" s="57">
        <v>71</v>
      </c>
      <c r="B78" s="44" t="str">
        <f t="shared" si="20"/>
        <v>6-й год 11-й мес</v>
      </c>
      <c r="C78" s="45">
        <f t="shared" si="26"/>
        <v>43353</v>
      </c>
      <c r="D78" s="46">
        <f t="shared" si="16"/>
        <v>0</v>
      </c>
      <c r="E78" s="47">
        <f t="shared" si="21"/>
        <v>0</v>
      </c>
      <c r="F78" s="47">
        <f t="shared" si="27"/>
        <v>0</v>
      </c>
      <c r="G78" s="48">
        <f t="shared" si="22"/>
        <v>0</v>
      </c>
      <c r="H78" s="49">
        <f t="shared" si="17"/>
        <v>0</v>
      </c>
      <c r="I78" s="47">
        <f t="shared" si="28"/>
        <v>0</v>
      </c>
      <c r="J78" s="47">
        <f t="shared" si="23"/>
        <v>0</v>
      </c>
      <c r="K78" s="50">
        <f t="shared" si="24"/>
        <v>0</v>
      </c>
      <c r="L78" s="63"/>
      <c r="M78" s="64"/>
      <c r="N78" s="51">
        <f t="shared" si="18"/>
        <v>7</v>
      </c>
      <c r="O78" s="19">
        <f t="shared" si="25"/>
        <v>10</v>
      </c>
      <c r="P78" s="20">
        <f t="shared" si="19"/>
        <v>0</v>
      </c>
      <c r="Q78" s="21"/>
      <c r="R78" s="21"/>
      <c r="S78" s="21"/>
      <c r="T78" s="21"/>
      <c r="U78" s="21"/>
      <c r="V78" s="21"/>
      <c r="W78" s="21"/>
      <c r="X78" s="21"/>
      <c r="Y78" s="21"/>
      <c r="Z78" s="21"/>
    </row>
    <row r="79" spans="1:26">
      <c r="A79" s="58">
        <v>72</v>
      </c>
      <c r="B79" s="44" t="str">
        <f t="shared" si="20"/>
        <v>6-й год 12-й мес</v>
      </c>
      <c r="C79" s="45">
        <f t="shared" si="26"/>
        <v>43383</v>
      </c>
      <c r="D79" s="46">
        <f t="shared" si="16"/>
        <v>0</v>
      </c>
      <c r="E79" s="59">
        <f t="shared" si="21"/>
        <v>0</v>
      </c>
      <c r="F79" s="47">
        <f t="shared" si="27"/>
        <v>0</v>
      </c>
      <c r="G79" s="60">
        <f t="shared" si="22"/>
        <v>0</v>
      </c>
      <c r="H79" s="61">
        <f t="shared" si="17"/>
        <v>0</v>
      </c>
      <c r="I79" s="59">
        <f t="shared" si="28"/>
        <v>0</v>
      </c>
      <c r="J79" s="59">
        <f t="shared" si="23"/>
        <v>0</v>
      </c>
      <c r="K79" s="62">
        <f t="shared" si="24"/>
        <v>0</v>
      </c>
      <c r="L79" s="66"/>
      <c r="M79" s="64"/>
      <c r="N79" s="51">
        <f t="shared" si="18"/>
        <v>7</v>
      </c>
      <c r="O79" s="19">
        <f t="shared" si="25"/>
        <v>10</v>
      </c>
      <c r="P79" s="20">
        <f t="shared" si="19"/>
        <v>0</v>
      </c>
      <c r="Q79" s="21"/>
      <c r="R79" s="21"/>
      <c r="S79" s="21"/>
      <c r="T79" s="21"/>
      <c r="U79" s="21"/>
      <c r="V79" s="21"/>
      <c r="W79" s="21"/>
      <c r="X79" s="21"/>
      <c r="Y79" s="21"/>
      <c r="Z79" s="21"/>
    </row>
    <row r="80" spans="1:26">
      <c r="A80" s="43">
        <v>73</v>
      </c>
      <c r="B80" s="44" t="str">
        <f t="shared" si="20"/>
        <v>7-й год 1-й мес</v>
      </c>
      <c r="C80" s="45">
        <f t="shared" si="26"/>
        <v>43414</v>
      </c>
      <c r="D80" s="46">
        <f t="shared" si="16"/>
        <v>0</v>
      </c>
      <c r="E80" s="47">
        <f t="shared" si="21"/>
        <v>0</v>
      </c>
      <c r="F80" s="47">
        <f t="shared" si="27"/>
        <v>0</v>
      </c>
      <c r="G80" s="48">
        <f t="shared" si="22"/>
        <v>0</v>
      </c>
      <c r="H80" s="49">
        <f t="shared" si="17"/>
        <v>0</v>
      </c>
      <c r="I80" s="47">
        <f t="shared" si="28"/>
        <v>0</v>
      </c>
      <c r="J80" s="47">
        <f t="shared" si="23"/>
        <v>0</v>
      </c>
      <c r="K80" s="50">
        <f t="shared" si="24"/>
        <v>0</v>
      </c>
      <c r="L80" s="63"/>
      <c r="M80" s="64"/>
      <c r="N80" s="51">
        <f t="shared" si="18"/>
        <v>7</v>
      </c>
      <c r="O80" s="19">
        <f t="shared" si="25"/>
        <v>10</v>
      </c>
      <c r="P80" s="20">
        <f t="shared" si="19"/>
        <v>0</v>
      </c>
      <c r="Q80" s="21"/>
      <c r="R80" s="21"/>
      <c r="S80" s="21"/>
      <c r="T80" s="21"/>
      <c r="U80" s="21"/>
      <c r="V80" s="21"/>
      <c r="W80" s="21"/>
      <c r="X80" s="21"/>
      <c r="Y80" s="21"/>
      <c r="Z80" s="21"/>
    </row>
    <row r="81" spans="1:26">
      <c r="A81" s="43">
        <v>74</v>
      </c>
      <c r="B81" s="44" t="str">
        <f t="shared" si="20"/>
        <v>7-й год 2-й мес</v>
      </c>
      <c r="C81" s="45">
        <f t="shared" si="26"/>
        <v>43444</v>
      </c>
      <c r="D81" s="46">
        <f t="shared" si="16"/>
        <v>0</v>
      </c>
      <c r="E81" s="47">
        <f t="shared" si="21"/>
        <v>0</v>
      </c>
      <c r="F81" s="47">
        <f t="shared" si="27"/>
        <v>0</v>
      </c>
      <c r="G81" s="48">
        <f t="shared" si="22"/>
        <v>0</v>
      </c>
      <c r="H81" s="49">
        <f t="shared" si="17"/>
        <v>0</v>
      </c>
      <c r="I81" s="47">
        <f t="shared" si="28"/>
        <v>0</v>
      </c>
      <c r="J81" s="47">
        <f t="shared" si="23"/>
        <v>0</v>
      </c>
      <c r="K81" s="50">
        <f t="shared" si="24"/>
        <v>0</v>
      </c>
      <c r="L81" s="63"/>
      <c r="M81" s="64"/>
      <c r="N81" s="51">
        <f t="shared" si="18"/>
        <v>7</v>
      </c>
      <c r="O81" s="19">
        <f t="shared" si="25"/>
        <v>10</v>
      </c>
      <c r="P81" s="20">
        <f t="shared" si="19"/>
        <v>0</v>
      </c>
      <c r="Q81" s="21"/>
      <c r="R81" s="21"/>
      <c r="S81" s="21"/>
      <c r="T81" s="21"/>
      <c r="U81" s="21"/>
      <c r="V81" s="21"/>
      <c r="W81" s="21"/>
      <c r="X81" s="21"/>
      <c r="Y81" s="21"/>
      <c r="Z81" s="21"/>
    </row>
    <row r="82" spans="1:26">
      <c r="A82" s="43">
        <v>75</v>
      </c>
      <c r="B82" s="44" t="str">
        <f t="shared" si="20"/>
        <v>7-й год 3-й мес</v>
      </c>
      <c r="C82" s="45">
        <f t="shared" si="26"/>
        <v>43475</v>
      </c>
      <c r="D82" s="46">
        <f t="shared" si="16"/>
        <v>0</v>
      </c>
      <c r="E82" s="47">
        <f t="shared" si="21"/>
        <v>0</v>
      </c>
      <c r="F82" s="47">
        <f t="shared" si="27"/>
        <v>0</v>
      </c>
      <c r="G82" s="48">
        <f t="shared" si="22"/>
        <v>0</v>
      </c>
      <c r="H82" s="49">
        <f t="shared" si="17"/>
        <v>0</v>
      </c>
      <c r="I82" s="47">
        <f t="shared" si="28"/>
        <v>0</v>
      </c>
      <c r="J82" s="47">
        <f t="shared" si="23"/>
        <v>0</v>
      </c>
      <c r="K82" s="50">
        <f t="shared" si="24"/>
        <v>0</v>
      </c>
      <c r="L82" s="63"/>
      <c r="M82" s="64"/>
      <c r="N82" s="51">
        <f t="shared" si="18"/>
        <v>7</v>
      </c>
      <c r="O82" s="19">
        <f t="shared" si="25"/>
        <v>10</v>
      </c>
      <c r="P82" s="20">
        <f t="shared" si="19"/>
        <v>0</v>
      </c>
      <c r="Q82" s="21"/>
      <c r="R82" s="21"/>
      <c r="S82" s="21"/>
      <c r="T82" s="21"/>
      <c r="U82" s="21"/>
      <c r="V82" s="21"/>
      <c r="W82" s="21"/>
      <c r="X82" s="21"/>
      <c r="Y82" s="21"/>
      <c r="Z82" s="21"/>
    </row>
    <row r="83" spans="1:26">
      <c r="A83" s="43">
        <v>76</v>
      </c>
      <c r="B83" s="44" t="str">
        <f t="shared" si="20"/>
        <v>7-й год 4-й мес</v>
      </c>
      <c r="C83" s="45">
        <f t="shared" si="26"/>
        <v>43506</v>
      </c>
      <c r="D83" s="46">
        <f t="shared" si="16"/>
        <v>0</v>
      </c>
      <c r="E83" s="47">
        <f t="shared" si="21"/>
        <v>0</v>
      </c>
      <c r="F83" s="47">
        <f t="shared" si="27"/>
        <v>0</v>
      </c>
      <c r="G83" s="48">
        <f t="shared" si="22"/>
        <v>0</v>
      </c>
      <c r="H83" s="49">
        <f t="shared" si="17"/>
        <v>0</v>
      </c>
      <c r="I83" s="47">
        <f t="shared" si="28"/>
        <v>0</v>
      </c>
      <c r="J83" s="47">
        <f t="shared" si="23"/>
        <v>0</v>
      </c>
      <c r="K83" s="50">
        <f t="shared" si="24"/>
        <v>0</v>
      </c>
      <c r="L83" s="63"/>
      <c r="M83" s="64"/>
      <c r="N83" s="51">
        <f t="shared" si="18"/>
        <v>7</v>
      </c>
      <c r="O83" s="19">
        <f t="shared" si="25"/>
        <v>10</v>
      </c>
      <c r="P83" s="20">
        <f t="shared" si="19"/>
        <v>0</v>
      </c>
      <c r="Q83" s="21"/>
      <c r="R83" s="21"/>
      <c r="S83" s="21"/>
      <c r="T83" s="21"/>
      <c r="U83" s="21"/>
      <c r="V83" s="21"/>
      <c r="W83" s="21"/>
      <c r="X83" s="21"/>
      <c r="Y83" s="21"/>
      <c r="Z83" s="21"/>
    </row>
    <row r="84" spans="1:26">
      <c r="A84" s="43">
        <v>77</v>
      </c>
      <c r="B84" s="44" t="str">
        <f t="shared" si="20"/>
        <v>7-й год 5-й мес</v>
      </c>
      <c r="C84" s="45">
        <f t="shared" si="26"/>
        <v>43534</v>
      </c>
      <c r="D84" s="46">
        <f t="shared" si="16"/>
        <v>0</v>
      </c>
      <c r="E84" s="47">
        <f t="shared" si="21"/>
        <v>0</v>
      </c>
      <c r="F84" s="47">
        <f t="shared" si="27"/>
        <v>0</v>
      </c>
      <c r="G84" s="48">
        <f t="shared" si="22"/>
        <v>0</v>
      </c>
      <c r="H84" s="49">
        <f t="shared" si="17"/>
        <v>0</v>
      </c>
      <c r="I84" s="47">
        <f t="shared" si="28"/>
        <v>0</v>
      </c>
      <c r="J84" s="47">
        <f t="shared" si="23"/>
        <v>0</v>
      </c>
      <c r="K84" s="50">
        <f t="shared" si="24"/>
        <v>0</v>
      </c>
      <c r="L84" s="63"/>
      <c r="M84" s="64"/>
      <c r="N84" s="51">
        <f t="shared" si="18"/>
        <v>7</v>
      </c>
      <c r="O84" s="19">
        <f t="shared" si="25"/>
        <v>10</v>
      </c>
      <c r="P84" s="20">
        <f t="shared" si="19"/>
        <v>0</v>
      </c>
      <c r="Q84" s="21"/>
      <c r="R84" s="21"/>
      <c r="S84" s="21"/>
      <c r="T84" s="21"/>
      <c r="U84" s="21"/>
      <c r="V84" s="21"/>
      <c r="W84" s="21"/>
      <c r="X84" s="21"/>
      <c r="Y84" s="21"/>
      <c r="Z84" s="21"/>
    </row>
    <row r="85" spans="1:26">
      <c r="A85" s="43">
        <v>78</v>
      </c>
      <c r="B85" s="44" t="str">
        <f t="shared" si="20"/>
        <v>7-й год 6-й мес</v>
      </c>
      <c r="C85" s="45">
        <f t="shared" si="26"/>
        <v>43565</v>
      </c>
      <c r="D85" s="46">
        <f t="shared" si="16"/>
        <v>0</v>
      </c>
      <c r="E85" s="47">
        <f t="shared" si="21"/>
        <v>0</v>
      </c>
      <c r="F85" s="47">
        <f t="shared" si="27"/>
        <v>0</v>
      </c>
      <c r="G85" s="48">
        <f t="shared" si="22"/>
        <v>0</v>
      </c>
      <c r="H85" s="49">
        <f t="shared" si="17"/>
        <v>0</v>
      </c>
      <c r="I85" s="47">
        <f t="shared" si="28"/>
        <v>0</v>
      </c>
      <c r="J85" s="47">
        <f t="shared" si="23"/>
        <v>0</v>
      </c>
      <c r="K85" s="50">
        <f t="shared" si="24"/>
        <v>0</v>
      </c>
      <c r="L85" s="63"/>
      <c r="M85" s="64"/>
      <c r="N85" s="51">
        <f t="shared" si="18"/>
        <v>7</v>
      </c>
      <c r="O85" s="19">
        <f t="shared" si="25"/>
        <v>10</v>
      </c>
      <c r="P85" s="20">
        <f t="shared" si="19"/>
        <v>0</v>
      </c>
      <c r="Q85" s="21"/>
      <c r="R85" s="21"/>
      <c r="S85" s="21"/>
      <c r="T85" s="21"/>
      <c r="U85" s="21"/>
      <c r="V85" s="21"/>
      <c r="W85" s="21"/>
      <c r="X85" s="21"/>
      <c r="Y85" s="21"/>
      <c r="Z85" s="21"/>
    </row>
    <row r="86" spans="1:26">
      <c r="A86" s="43">
        <v>79</v>
      </c>
      <c r="B86" s="44" t="str">
        <f t="shared" si="20"/>
        <v>7-й год 7-й мес</v>
      </c>
      <c r="C86" s="45">
        <f t="shared" si="26"/>
        <v>43595</v>
      </c>
      <c r="D86" s="46">
        <f t="shared" si="16"/>
        <v>0</v>
      </c>
      <c r="E86" s="47">
        <f t="shared" si="21"/>
        <v>0</v>
      </c>
      <c r="F86" s="47">
        <f t="shared" si="27"/>
        <v>0</v>
      </c>
      <c r="G86" s="48">
        <f t="shared" si="22"/>
        <v>0</v>
      </c>
      <c r="H86" s="49">
        <f t="shared" si="17"/>
        <v>0</v>
      </c>
      <c r="I86" s="47">
        <f t="shared" si="28"/>
        <v>0</v>
      </c>
      <c r="J86" s="47">
        <f t="shared" si="23"/>
        <v>0</v>
      </c>
      <c r="K86" s="50">
        <f t="shared" si="24"/>
        <v>0</v>
      </c>
      <c r="L86" s="63"/>
      <c r="M86" s="64"/>
      <c r="N86" s="51">
        <f t="shared" si="18"/>
        <v>7</v>
      </c>
      <c r="O86" s="19">
        <f t="shared" si="25"/>
        <v>10</v>
      </c>
      <c r="P86" s="20">
        <f t="shared" si="19"/>
        <v>0</v>
      </c>
      <c r="Q86" s="21"/>
      <c r="R86" s="21"/>
      <c r="S86" s="21"/>
      <c r="T86" s="21"/>
      <c r="U86" s="21"/>
      <c r="V86" s="21"/>
      <c r="W86" s="21"/>
      <c r="X86" s="21"/>
      <c r="Y86" s="21"/>
      <c r="Z86" s="21"/>
    </row>
    <row r="87" spans="1:26">
      <c r="A87" s="43">
        <v>80</v>
      </c>
      <c r="B87" s="44" t="str">
        <f t="shared" si="20"/>
        <v>7-й год 8-й мес</v>
      </c>
      <c r="C87" s="45">
        <f t="shared" si="26"/>
        <v>43626</v>
      </c>
      <c r="D87" s="46">
        <f t="shared" si="16"/>
        <v>0</v>
      </c>
      <c r="E87" s="47">
        <f t="shared" si="21"/>
        <v>0</v>
      </c>
      <c r="F87" s="47">
        <f t="shared" si="27"/>
        <v>0</v>
      </c>
      <c r="G87" s="48">
        <f t="shared" si="22"/>
        <v>0</v>
      </c>
      <c r="H87" s="49">
        <f t="shared" si="17"/>
        <v>0</v>
      </c>
      <c r="I87" s="47">
        <f t="shared" si="28"/>
        <v>0</v>
      </c>
      <c r="J87" s="47">
        <f t="shared" si="23"/>
        <v>0</v>
      </c>
      <c r="K87" s="50">
        <f t="shared" si="24"/>
        <v>0</v>
      </c>
      <c r="L87" s="63"/>
      <c r="M87" s="64"/>
      <c r="N87" s="51">
        <f t="shared" si="18"/>
        <v>7</v>
      </c>
      <c r="O87" s="19">
        <f t="shared" si="25"/>
        <v>10</v>
      </c>
      <c r="P87" s="20">
        <f t="shared" si="19"/>
        <v>0</v>
      </c>
      <c r="Q87" s="21"/>
      <c r="R87" s="21"/>
      <c r="S87" s="21"/>
      <c r="T87" s="21"/>
      <c r="U87" s="21"/>
      <c r="V87" s="21"/>
      <c r="W87" s="21"/>
      <c r="X87" s="21"/>
      <c r="Y87" s="21"/>
      <c r="Z87" s="21"/>
    </row>
    <row r="88" spans="1:26">
      <c r="A88" s="43">
        <v>81</v>
      </c>
      <c r="B88" s="44" t="str">
        <f t="shared" si="20"/>
        <v>7-й год 9-й мес</v>
      </c>
      <c r="C88" s="45">
        <f t="shared" si="26"/>
        <v>43656</v>
      </c>
      <c r="D88" s="46">
        <f t="shared" si="16"/>
        <v>0</v>
      </c>
      <c r="E88" s="47">
        <f t="shared" si="21"/>
        <v>0</v>
      </c>
      <c r="F88" s="47">
        <f t="shared" si="27"/>
        <v>0</v>
      </c>
      <c r="G88" s="48">
        <f t="shared" si="22"/>
        <v>0</v>
      </c>
      <c r="H88" s="49">
        <f t="shared" si="17"/>
        <v>0</v>
      </c>
      <c r="I88" s="47">
        <f t="shared" si="28"/>
        <v>0</v>
      </c>
      <c r="J88" s="47">
        <f t="shared" si="23"/>
        <v>0</v>
      </c>
      <c r="K88" s="50">
        <f t="shared" si="24"/>
        <v>0</v>
      </c>
      <c r="L88" s="63"/>
      <c r="M88" s="64"/>
      <c r="N88" s="51">
        <f t="shared" si="18"/>
        <v>7</v>
      </c>
      <c r="O88" s="19">
        <f t="shared" si="25"/>
        <v>10</v>
      </c>
      <c r="P88" s="20">
        <f t="shared" si="19"/>
        <v>0</v>
      </c>
      <c r="Q88" s="21"/>
      <c r="R88" s="21"/>
      <c r="S88" s="21"/>
      <c r="T88" s="21"/>
      <c r="U88" s="21"/>
      <c r="V88" s="21"/>
      <c r="W88" s="21"/>
      <c r="X88" s="21"/>
      <c r="Y88" s="21"/>
      <c r="Z88" s="21"/>
    </row>
    <row r="89" spans="1:26">
      <c r="A89" s="43">
        <v>82</v>
      </c>
      <c r="B89" s="44" t="str">
        <f t="shared" si="20"/>
        <v>7-й год 10-й мес</v>
      </c>
      <c r="C89" s="45">
        <f t="shared" si="26"/>
        <v>43687</v>
      </c>
      <c r="D89" s="46">
        <f t="shared" si="16"/>
        <v>0</v>
      </c>
      <c r="E89" s="47">
        <f t="shared" si="21"/>
        <v>0</v>
      </c>
      <c r="F89" s="47">
        <f t="shared" si="27"/>
        <v>0</v>
      </c>
      <c r="G89" s="48">
        <f t="shared" si="22"/>
        <v>0</v>
      </c>
      <c r="H89" s="49">
        <f t="shared" si="17"/>
        <v>0</v>
      </c>
      <c r="I89" s="47">
        <f t="shared" si="28"/>
        <v>0</v>
      </c>
      <c r="J89" s="47">
        <f t="shared" si="23"/>
        <v>0</v>
      </c>
      <c r="K89" s="50">
        <f t="shared" si="24"/>
        <v>0</v>
      </c>
      <c r="L89" s="63"/>
      <c r="M89" s="64"/>
      <c r="N89" s="51">
        <f t="shared" si="18"/>
        <v>7</v>
      </c>
      <c r="O89" s="19">
        <f t="shared" si="25"/>
        <v>10</v>
      </c>
      <c r="P89" s="20">
        <f t="shared" si="19"/>
        <v>0</v>
      </c>
      <c r="Q89" s="21"/>
      <c r="R89" s="21"/>
      <c r="S89" s="21"/>
      <c r="T89" s="21"/>
      <c r="U89" s="21"/>
      <c r="V89" s="21"/>
      <c r="W89" s="21"/>
      <c r="X89" s="21"/>
      <c r="Y89" s="21"/>
      <c r="Z89" s="21"/>
    </row>
    <row r="90" spans="1:26">
      <c r="A90" s="43">
        <v>83</v>
      </c>
      <c r="B90" s="44" t="str">
        <f t="shared" si="20"/>
        <v>7-й год 11-й мес</v>
      </c>
      <c r="C90" s="45">
        <f t="shared" si="26"/>
        <v>43718</v>
      </c>
      <c r="D90" s="46">
        <f t="shared" si="16"/>
        <v>0</v>
      </c>
      <c r="E90" s="47">
        <f t="shared" si="21"/>
        <v>0</v>
      </c>
      <c r="F90" s="47">
        <f t="shared" si="27"/>
        <v>0</v>
      </c>
      <c r="G90" s="48">
        <f t="shared" si="22"/>
        <v>0</v>
      </c>
      <c r="H90" s="49">
        <f t="shared" si="17"/>
        <v>0</v>
      </c>
      <c r="I90" s="47">
        <f t="shared" si="28"/>
        <v>0</v>
      </c>
      <c r="J90" s="47">
        <f t="shared" si="23"/>
        <v>0</v>
      </c>
      <c r="K90" s="50">
        <f t="shared" si="24"/>
        <v>0</v>
      </c>
      <c r="L90" s="63"/>
      <c r="M90" s="64"/>
      <c r="N90" s="51">
        <f t="shared" si="18"/>
        <v>7</v>
      </c>
      <c r="O90" s="19">
        <f t="shared" si="25"/>
        <v>10</v>
      </c>
      <c r="P90" s="20">
        <f t="shared" si="19"/>
        <v>0</v>
      </c>
      <c r="Q90" s="21"/>
      <c r="R90" s="21"/>
      <c r="S90" s="21"/>
      <c r="T90" s="21"/>
      <c r="U90" s="21"/>
      <c r="V90" s="21"/>
      <c r="W90" s="21"/>
      <c r="X90" s="21"/>
      <c r="Y90" s="21"/>
      <c r="Z90" s="21"/>
    </row>
    <row r="91" spans="1:26">
      <c r="A91" s="43">
        <v>84</v>
      </c>
      <c r="B91" s="44" t="str">
        <f t="shared" si="20"/>
        <v>7-й год 12-й мес</v>
      </c>
      <c r="C91" s="45">
        <f t="shared" si="26"/>
        <v>43748</v>
      </c>
      <c r="D91" s="46">
        <f t="shared" si="16"/>
        <v>0</v>
      </c>
      <c r="E91" s="47">
        <f t="shared" si="21"/>
        <v>0</v>
      </c>
      <c r="F91" s="47">
        <f t="shared" si="27"/>
        <v>0</v>
      </c>
      <c r="G91" s="48">
        <f t="shared" si="22"/>
        <v>0</v>
      </c>
      <c r="H91" s="49">
        <f t="shared" si="17"/>
        <v>0</v>
      </c>
      <c r="I91" s="47">
        <f t="shared" si="28"/>
        <v>0</v>
      </c>
      <c r="J91" s="47">
        <f t="shared" si="23"/>
        <v>0</v>
      </c>
      <c r="K91" s="50">
        <f t="shared" si="24"/>
        <v>0</v>
      </c>
      <c r="L91" s="63"/>
      <c r="M91" s="64"/>
      <c r="N91" s="51">
        <f t="shared" si="18"/>
        <v>7</v>
      </c>
      <c r="O91" s="19">
        <f t="shared" si="25"/>
        <v>10</v>
      </c>
      <c r="P91" s="20">
        <f t="shared" si="19"/>
        <v>0</v>
      </c>
      <c r="Q91" s="21"/>
      <c r="R91" s="21"/>
      <c r="S91" s="21"/>
      <c r="T91" s="21"/>
      <c r="U91" s="21"/>
      <c r="V91" s="21"/>
      <c r="W91" s="21"/>
      <c r="X91" s="21"/>
      <c r="Y91" s="21"/>
      <c r="Z91" s="21"/>
    </row>
    <row r="92" spans="1:26">
      <c r="A92" s="52">
        <v>85</v>
      </c>
      <c r="B92" s="44" t="str">
        <f t="shared" si="20"/>
        <v>8-й год 1-й мес</v>
      </c>
      <c r="C92" s="45">
        <f t="shared" si="26"/>
        <v>43779</v>
      </c>
      <c r="D92" s="46">
        <f t="shared" si="16"/>
        <v>0</v>
      </c>
      <c r="E92" s="53">
        <f t="shared" si="21"/>
        <v>0</v>
      </c>
      <c r="F92" s="47">
        <f t="shared" si="27"/>
        <v>0</v>
      </c>
      <c r="G92" s="54">
        <f t="shared" si="22"/>
        <v>0</v>
      </c>
      <c r="H92" s="55">
        <f t="shared" si="17"/>
        <v>0</v>
      </c>
      <c r="I92" s="53">
        <f t="shared" si="28"/>
        <v>0</v>
      </c>
      <c r="J92" s="53">
        <f t="shared" si="23"/>
        <v>0</v>
      </c>
      <c r="K92" s="56">
        <f t="shared" si="24"/>
        <v>0</v>
      </c>
      <c r="L92" s="65"/>
      <c r="M92" s="64"/>
      <c r="N92" s="51">
        <f t="shared" si="18"/>
        <v>7</v>
      </c>
      <c r="O92" s="19">
        <f t="shared" si="25"/>
        <v>10</v>
      </c>
      <c r="P92" s="20">
        <f t="shared" si="19"/>
        <v>0</v>
      </c>
      <c r="Q92" s="21"/>
      <c r="R92" s="21"/>
      <c r="S92" s="21"/>
      <c r="T92" s="21"/>
      <c r="U92" s="21"/>
      <c r="V92" s="21"/>
      <c r="W92" s="21"/>
      <c r="X92" s="21"/>
      <c r="Y92" s="21"/>
      <c r="Z92" s="21"/>
    </row>
    <row r="93" spans="1:26">
      <c r="A93" s="57">
        <v>86</v>
      </c>
      <c r="B93" s="44" t="str">
        <f t="shared" si="20"/>
        <v>8-й год 2-й мес</v>
      </c>
      <c r="C93" s="45">
        <f t="shared" si="26"/>
        <v>43809</v>
      </c>
      <c r="D93" s="46">
        <f t="shared" si="16"/>
        <v>0</v>
      </c>
      <c r="E93" s="47">
        <f t="shared" si="21"/>
        <v>0</v>
      </c>
      <c r="F93" s="47">
        <f t="shared" si="27"/>
        <v>0</v>
      </c>
      <c r="G93" s="48">
        <f t="shared" si="22"/>
        <v>0</v>
      </c>
      <c r="H93" s="49">
        <f t="shared" si="17"/>
        <v>0</v>
      </c>
      <c r="I93" s="47">
        <f t="shared" si="28"/>
        <v>0</v>
      </c>
      <c r="J93" s="47">
        <f t="shared" si="23"/>
        <v>0</v>
      </c>
      <c r="K93" s="50">
        <f t="shared" si="24"/>
        <v>0</v>
      </c>
      <c r="L93" s="63"/>
      <c r="M93" s="64"/>
      <c r="N93" s="51">
        <f t="shared" si="18"/>
        <v>7</v>
      </c>
      <c r="O93" s="19">
        <f t="shared" si="25"/>
        <v>10</v>
      </c>
      <c r="P93" s="20">
        <f t="shared" si="19"/>
        <v>0</v>
      </c>
      <c r="Q93" s="21"/>
      <c r="R93" s="21"/>
      <c r="S93" s="21"/>
      <c r="T93" s="21"/>
      <c r="U93" s="21"/>
      <c r="V93" s="21"/>
      <c r="W93" s="21"/>
      <c r="X93" s="21"/>
      <c r="Y93" s="21"/>
      <c r="Z93" s="21"/>
    </row>
    <row r="94" spans="1:26">
      <c r="A94" s="57">
        <v>87</v>
      </c>
      <c r="B94" s="44" t="str">
        <f t="shared" si="20"/>
        <v>8-й год 3-й мес</v>
      </c>
      <c r="C94" s="45">
        <f t="shared" si="26"/>
        <v>43840</v>
      </c>
      <c r="D94" s="46">
        <f t="shared" si="16"/>
        <v>0</v>
      </c>
      <c r="E94" s="47">
        <f t="shared" si="21"/>
        <v>0</v>
      </c>
      <c r="F94" s="47">
        <f t="shared" si="27"/>
        <v>0</v>
      </c>
      <c r="G94" s="48">
        <f t="shared" si="22"/>
        <v>0</v>
      </c>
      <c r="H94" s="49">
        <f t="shared" si="17"/>
        <v>0</v>
      </c>
      <c r="I94" s="47">
        <f t="shared" si="28"/>
        <v>0</v>
      </c>
      <c r="J94" s="47">
        <f t="shared" si="23"/>
        <v>0</v>
      </c>
      <c r="K94" s="50">
        <f t="shared" si="24"/>
        <v>0</v>
      </c>
      <c r="L94" s="63"/>
      <c r="M94" s="64"/>
      <c r="N94" s="51">
        <f t="shared" si="18"/>
        <v>7</v>
      </c>
      <c r="O94" s="19">
        <f t="shared" si="25"/>
        <v>10</v>
      </c>
      <c r="P94" s="20">
        <f t="shared" si="19"/>
        <v>0</v>
      </c>
      <c r="Q94" s="21"/>
      <c r="R94" s="21"/>
      <c r="S94" s="21"/>
      <c r="T94" s="21"/>
      <c r="U94" s="21"/>
      <c r="V94" s="21"/>
      <c r="W94" s="21"/>
      <c r="X94" s="21"/>
      <c r="Y94" s="21"/>
      <c r="Z94" s="21"/>
    </row>
    <row r="95" spans="1:26">
      <c r="A95" s="57">
        <v>88</v>
      </c>
      <c r="B95" s="44" t="str">
        <f t="shared" si="20"/>
        <v>8-й год 4-й мес</v>
      </c>
      <c r="C95" s="45">
        <f t="shared" si="26"/>
        <v>43871</v>
      </c>
      <c r="D95" s="46">
        <f t="shared" si="16"/>
        <v>0</v>
      </c>
      <c r="E95" s="47">
        <f t="shared" si="21"/>
        <v>0</v>
      </c>
      <c r="F95" s="47">
        <f t="shared" si="27"/>
        <v>0</v>
      </c>
      <c r="G95" s="48">
        <f t="shared" si="22"/>
        <v>0</v>
      </c>
      <c r="H95" s="49">
        <f t="shared" si="17"/>
        <v>0</v>
      </c>
      <c r="I95" s="47">
        <f t="shared" si="28"/>
        <v>0</v>
      </c>
      <c r="J95" s="47">
        <f t="shared" si="23"/>
        <v>0</v>
      </c>
      <c r="K95" s="50">
        <f t="shared" si="24"/>
        <v>0</v>
      </c>
      <c r="L95" s="63"/>
      <c r="M95" s="64"/>
      <c r="N95" s="51">
        <f t="shared" si="18"/>
        <v>7</v>
      </c>
      <c r="O95" s="19">
        <f t="shared" si="25"/>
        <v>10</v>
      </c>
      <c r="P95" s="20">
        <f t="shared" si="19"/>
        <v>0</v>
      </c>
      <c r="Q95" s="21"/>
      <c r="R95" s="21"/>
      <c r="S95" s="21"/>
      <c r="T95" s="21"/>
      <c r="U95" s="21"/>
      <c r="V95" s="21"/>
      <c r="W95" s="21"/>
      <c r="X95" s="21"/>
      <c r="Y95" s="21"/>
      <c r="Z95" s="21"/>
    </row>
    <row r="96" spans="1:26">
      <c r="A96" s="57">
        <v>89</v>
      </c>
      <c r="B96" s="44" t="str">
        <f t="shared" si="20"/>
        <v>8-й год 5-й мес</v>
      </c>
      <c r="C96" s="45">
        <f t="shared" si="26"/>
        <v>43900</v>
      </c>
      <c r="D96" s="46">
        <f t="shared" si="16"/>
        <v>0</v>
      </c>
      <c r="E96" s="47">
        <f t="shared" si="21"/>
        <v>0</v>
      </c>
      <c r="F96" s="47">
        <f t="shared" si="27"/>
        <v>0</v>
      </c>
      <c r="G96" s="48">
        <f t="shared" si="22"/>
        <v>0</v>
      </c>
      <c r="H96" s="49">
        <f t="shared" si="17"/>
        <v>0</v>
      </c>
      <c r="I96" s="47">
        <f t="shared" si="28"/>
        <v>0</v>
      </c>
      <c r="J96" s="47">
        <f t="shared" si="23"/>
        <v>0</v>
      </c>
      <c r="K96" s="50">
        <f t="shared" si="24"/>
        <v>0</v>
      </c>
      <c r="L96" s="63"/>
      <c r="M96" s="64"/>
      <c r="N96" s="51">
        <f t="shared" si="18"/>
        <v>7</v>
      </c>
      <c r="O96" s="19">
        <f t="shared" si="25"/>
        <v>10</v>
      </c>
      <c r="P96" s="20">
        <f t="shared" si="19"/>
        <v>0</v>
      </c>
      <c r="Q96" s="21"/>
      <c r="R96" s="21"/>
      <c r="S96" s="21"/>
      <c r="T96" s="21"/>
      <c r="U96" s="21"/>
      <c r="V96" s="21"/>
      <c r="W96" s="21"/>
      <c r="X96" s="21"/>
      <c r="Y96" s="21"/>
      <c r="Z96" s="21"/>
    </row>
    <row r="97" spans="1:26">
      <c r="A97" s="57">
        <v>90</v>
      </c>
      <c r="B97" s="44" t="str">
        <f t="shared" si="20"/>
        <v>8-й год 6-й мес</v>
      </c>
      <c r="C97" s="45">
        <f t="shared" si="26"/>
        <v>43931</v>
      </c>
      <c r="D97" s="46">
        <f t="shared" si="16"/>
        <v>0</v>
      </c>
      <c r="E97" s="47">
        <f t="shared" si="21"/>
        <v>0</v>
      </c>
      <c r="F97" s="47">
        <f t="shared" si="27"/>
        <v>0</v>
      </c>
      <c r="G97" s="48">
        <f t="shared" si="22"/>
        <v>0</v>
      </c>
      <c r="H97" s="49">
        <f t="shared" si="17"/>
        <v>0</v>
      </c>
      <c r="I97" s="47">
        <f t="shared" si="28"/>
        <v>0</v>
      </c>
      <c r="J97" s="47">
        <f t="shared" si="23"/>
        <v>0</v>
      </c>
      <c r="K97" s="50">
        <f t="shared" si="24"/>
        <v>0</v>
      </c>
      <c r="L97" s="63"/>
      <c r="M97" s="64"/>
      <c r="N97" s="51">
        <f t="shared" si="18"/>
        <v>7</v>
      </c>
      <c r="O97" s="19">
        <f t="shared" si="25"/>
        <v>10</v>
      </c>
      <c r="P97" s="20">
        <f t="shared" si="19"/>
        <v>0</v>
      </c>
      <c r="Q97" s="21"/>
      <c r="R97" s="21"/>
      <c r="S97" s="21"/>
      <c r="T97" s="21"/>
      <c r="U97" s="21"/>
      <c r="V97" s="21"/>
      <c r="W97" s="21"/>
      <c r="X97" s="21"/>
      <c r="Y97" s="21"/>
      <c r="Z97" s="21"/>
    </row>
    <row r="98" spans="1:26">
      <c r="A98" s="57">
        <v>91</v>
      </c>
      <c r="B98" s="44" t="str">
        <f t="shared" si="20"/>
        <v>8-й год 7-й мес</v>
      </c>
      <c r="C98" s="45">
        <f t="shared" si="26"/>
        <v>43961</v>
      </c>
      <c r="D98" s="46">
        <f t="shared" si="16"/>
        <v>0</v>
      </c>
      <c r="E98" s="47">
        <f t="shared" si="21"/>
        <v>0</v>
      </c>
      <c r="F98" s="47">
        <f t="shared" si="27"/>
        <v>0</v>
      </c>
      <c r="G98" s="48">
        <f t="shared" si="22"/>
        <v>0</v>
      </c>
      <c r="H98" s="49">
        <f t="shared" si="17"/>
        <v>0</v>
      </c>
      <c r="I98" s="47">
        <f t="shared" si="28"/>
        <v>0</v>
      </c>
      <c r="J98" s="47">
        <f t="shared" si="23"/>
        <v>0</v>
      </c>
      <c r="K98" s="50">
        <f t="shared" si="24"/>
        <v>0</v>
      </c>
      <c r="L98" s="63"/>
      <c r="M98" s="64"/>
      <c r="N98" s="51">
        <f t="shared" si="18"/>
        <v>7</v>
      </c>
      <c r="O98" s="19">
        <f t="shared" si="25"/>
        <v>10</v>
      </c>
      <c r="P98" s="20">
        <f t="shared" si="19"/>
        <v>0</v>
      </c>
      <c r="Q98" s="21"/>
      <c r="R98" s="21"/>
      <c r="S98" s="21"/>
      <c r="T98" s="21"/>
      <c r="U98" s="21"/>
      <c r="V98" s="21"/>
      <c r="W98" s="21"/>
      <c r="X98" s="21"/>
      <c r="Y98" s="21"/>
      <c r="Z98" s="21"/>
    </row>
    <row r="99" spans="1:26">
      <c r="A99" s="57">
        <v>92</v>
      </c>
      <c r="B99" s="44" t="str">
        <f t="shared" si="20"/>
        <v>8-й год 8-й мес</v>
      </c>
      <c r="C99" s="45">
        <f t="shared" si="26"/>
        <v>43992</v>
      </c>
      <c r="D99" s="46">
        <f t="shared" si="16"/>
        <v>0</v>
      </c>
      <c r="E99" s="47">
        <f t="shared" si="21"/>
        <v>0</v>
      </c>
      <c r="F99" s="47">
        <f t="shared" si="27"/>
        <v>0</v>
      </c>
      <c r="G99" s="48">
        <f t="shared" si="22"/>
        <v>0</v>
      </c>
      <c r="H99" s="49">
        <f t="shared" si="17"/>
        <v>0</v>
      </c>
      <c r="I99" s="47">
        <f t="shared" si="28"/>
        <v>0</v>
      </c>
      <c r="J99" s="47">
        <f t="shared" si="23"/>
        <v>0</v>
      </c>
      <c r="K99" s="50">
        <f t="shared" si="24"/>
        <v>0</v>
      </c>
      <c r="L99" s="63"/>
      <c r="M99" s="64"/>
      <c r="N99" s="51">
        <f t="shared" si="18"/>
        <v>7</v>
      </c>
      <c r="O99" s="19">
        <f t="shared" si="25"/>
        <v>10</v>
      </c>
      <c r="P99" s="20">
        <f t="shared" si="19"/>
        <v>0</v>
      </c>
      <c r="Q99" s="21"/>
      <c r="R99" s="21"/>
      <c r="S99" s="21"/>
      <c r="T99" s="21"/>
      <c r="U99" s="21"/>
      <c r="V99" s="21"/>
      <c r="W99" s="21"/>
      <c r="X99" s="21"/>
      <c r="Y99" s="21"/>
      <c r="Z99" s="21"/>
    </row>
    <row r="100" spans="1:26">
      <c r="A100" s="57">
        <v>93</v>
      </c>
      <c r="B100" s="44" t="str">
        <f t="shared" si="20"/>
        <v>8-й год 9-й мес</v>
      </c>
      <c r="C100" s="45">
        <f t="shared" si="26"/>
        <v>44022</v>
      </c>
      <c r="D100" s="46">
        <f t="shared" si="16"/>
        <v>0</v>
      </c>
      <c r="E100" s="47">
        <f t="shared" si="21"/>
        <v>0</v>
      </c>
      <c r="F100" s="47">
        <f t="shared" si="27"/>
        <v>0</v>
      </c>
      <c r="G100" s="48">
        <f t="shared" si="22"/>
        <v>0</v>
      </c>
      <c r="H100" s="49">
        <f t="shared" si="17"/>
        <v>0</v>
      </c>
      <c r="I100" s="47">
        <f t="shared" si="28"/>
        <v>0</v>
      </c>
      <c r="J100" s="47">
        <f t="shared" si="23"/>
        <v>0</v>
      </c>
      <c r="K100" s="50">
        <f t="shared" si="24"/>
        <v>0</v>
      </c>
      <c r="L100" s="63"/>
      <c r="M100" s="64"/>
      <c r="N100" s="51">
        <f t="shared" si="18"/>
        <v>7</v>
      </c>
      <c r="O100" s="19">
        <f t="shared" si="25"/>
        <v>10</v>
      </c>
      <c r="P100" s="20">
        <f t="shared" si="19"/>
        <v>0</v>
      </c>
      <c r="Q100" s="21"/>
      <c r="R100" s="21"/>
      <c r="S100" s="21"/>
      <c r="T100" s="21"/>
      <c r="U100" s="21"/>
      <c r="V100" s="21"/>
      <c r="W100" s="21"/>
      <c r="X100" s="21"/>
      <c r="Y100" s="21"/>
      <c r="Z100" s="21"/>
    </row>
    <row r="101" spans="1:26">
      <c r="A101" s="57">
        <v>94</v>
      </c>
      <c r="B101" s="44" t="str">
        <f t="shared" si="20"/>
        <v>8-й год 10-й мес</v>
      </c>
      <c r="C101" s="45">
        <f t="shared" si="26"/>
        <v>44053</v>
      </c>
      <c r="D101" s="46">
        <f t="shared" si="16"/>
        <v>0</v>
      </c>
      <c r="E101" s="47">
        <f t="shared" si="21"/>
        <v>0</v>
      </c>
      <c r="F101" s="47">
        <f t="shared" si="27"/>
        <v>0</v>
      </c>
      <c r="G101" s="48">
        <f t="shared" si="22"/>
        <v>0</v>
      </c>
      <c r="H101" s="49">
        <f t="shared" si="17"/>
        <v>0</v>
      </c>
      <c r="I101" s="47">
        <f t="shared" si="28"/>
        <v>0</v>
      </c>
      <c r="J101" s="47">
        <f t="shared" si="23"/>
        <v>0</v>
      </c>
      <c r="K101" s="50">
        <f t="shared" si="24"/>
        <v>0</v>
      </c>
      <c r="L101" s="63"/>
      <c r="M101" s="64"/>
      <c r="N101" s="51">
        <f t="shared" si="18"/>
        <v>7</v>
      </c>
      <c r="O101" s="19">
        <f t="shared" si="25"/>
        <v>10</v>
      </c>
      <c r="P101" s="20">
        <f t="shared" si="19"/>
        <v>0</v>
      </c>
      <c r="Q101" s="21"/>
      <c r="R101" s="21"/>
      <c r="S101" s="21"/>
      <c r="T101" s="21"/>
      <c r="U101" s="21"/>
      <c r="V101" s="21"/>
      <c r="W101" s="21"/>
      <c r="X101" s="21"/>
      <c r="Y101" s="21"/>
      <c r="Z101" s="21"/>
    </row>
    <row r="102" spans="1:26">
      <c r="A102" s="57">
        <v>95</v>
      </c>
      <c r="B102" s="44" t="str">
        <f t="shared" si="20"/>
        <v>8-й год 11-й мес</v>
      </c>
      <c r="C102" s="45">
        <f t="shared" si="26"/>
        <v>44084</v>
      </c>
      <c r="D102" s="46">
        <f t="shared" si="16"/>
        <v>0</v>
      </c>
      <c r="E102" s="47">
        <f t="shared" si="21"/>
        <v>0</v>
      </c>
      <c r="F102" s="47">
        <f t="shared" si="27"/>
        <v>0</v>
      </c>
      <c r="G102" s="48">
        <f t="shared" si="22"/>
        <v>0</v>
      </c>
      <c r="H102" s="49">
        <f t="shared" si="17"/>
        <v>0</v>
      </c>
      <c r="I102" s="47">
        <f t="shared" si="28"/>
        <v>0</v>
      </c>
      <c r="J102" s="47">
        <f t="shared" si="23"/>
        <v>0</v>
      </c>
      <c r="K102" s="50">
        <f t="shared" si="24"/>
        <v>0</v>
      </c>
      <c r="L102" s="63"/>
      <c r="M102" s="64"/>
      <c r="N102" s="51">
        <f t="shared" si="18"/>
        <v>7</v>
      </c>
      <c r="O102" s="19">
        <f t="shared" si="25"/>
        <v>10</v>
      </c>
      <c r="P102" s="20">
        <f t="shared" si="19"/>
        <v>0</v>
      </c>
      <c r="Q102" s="21"/>
      <c r="R102" s="21"/>
      <c r="S102" s="21"/>
      <c r="T102" s="21"/>
      <c r="U102" s="21"/>
      <c r="V102" s="21"/>
      <c r="W102" s="21"/>
      <c r="X102" s="21"/>
      <c r="Y102" s="21"/>
      <c r="Z102" s="21"/>
    </row>
    <row r="103" spans="1:26">
      <c r="A103" s="58">
        <v>96</v>
      </c>
      <c r="B103" s="44" t="str">
        <f t="shared" si="20"/>
        <v>8-й год 12-й мес</v>
      </c>
      <c r="C103" s="45">
        <f t="shared" si="26"/>
        <v>44114</v>
      </c>
      <c r="D103" s="46">
        <f t="shared" si="16"/>
        <v>0</v>
      </c>
      <c r="E103" s="59">
        <f t="shared" si="21"/>
        <v>0</v>
      </c>
      <c r="F103" s="47">
        <f t="shared" si="27"/>
        <v>0</v>
      </c>
      <c r="G103" s="60">
        <f t="shared" si="22"/>
        <v>0</v>
      </c>
      <c r="H103" s="61">
        <f t="shared" si="17"/>
        <v>0</v>
      </c>
      <c r="I103" s="59">
        <f t="shared" si="28"/>
        <v>0</v>
      </c>
      <c r="J103" s="59">
        <f t="shared" si="23"/>
        <v>0</v>
      </c>
      <c r="K103" s="62">
        <f t="shared" si="24"/>
        <v>0</v>
      </c>
      <c r="L103" s="66"/>
      <c r="M103" s="64"/>
      <c r="N103" s="51">
        <f t="shared" si="18"/>
        <v>7</v>
      </c>
      <c r="O103" s="19">
        <f t="shared" si="25"/>
        <v>10</v>
      </c>
      <c r="P103" s="20">
        <f t="shared" si="19"/>
        <v>0</v>
      </c>
      <c r="Q103" s="21"/>
      <c r="R103" s="21"/>
      <c r="S103" s="21"/>
      <c r="T103" s="21"/>
      <c r="U103" s="21"/>
      <c r="V103" s="21"/>
      <c r="W103" s="21"/>
      <c r="X103" s="21"/>
      <c r="Y103" s="21"/>
      <c r="Z103" s="21"/>
    </row>
    <row r="104" spans="1:26">
      <c r="A104" s="43">
        <v>97</v>
      </c>
      <c r="B104" s="44" t="str">
        <f t="shared" si="20"/>
        <v>9-й год 1-й мес</v>
      </c>
      <c r="C104" s="45">
        <f t="shared" si="26"/>
        <v>44145</v>
      </c>
      <c r="D104" s="46">
        <f t="shared" si="16"/>
        <v>0</v>
      </c>
      <c r="E104" s="47">
        <f t="shared" si="21"/>
        <v>0</v>
      </c>
      <c r="F104" s="47">
        <f t="shared" si="27"/>
        <v>0</v>
      </c>
      <c r="G104" s="48">
        <f t="shared" si="22"/>
        <v>0</v>
      </c>
      <c r="H104" s="49">
        <f t="shared" si="17"/>
        <v>0</v>
      </c>
      <c r="I104" s="47">
        <f t="shared" si="28"/>
        <v>0</v>
      </c>
      <c r="J104" s="47">
        <f t="shared" si="23"/>
        <v>0</v>
      </c>
      <c r="K104" s="50">
        <f t="shared" si="24"/>
        <v>0</v>
      </c>
      <c r="L104" s="63"/>
      <c r="M104" s="64"/>
      <c r="N104" s="51">
        <f t="shared" si="18"/>
        <v>7</v>
      </c>
      <c r="O104" s="19">
        <f t="shared" si="25"/>
        <v>10</v>
      </c>
      <c r="P104" s="20">
        <f t="shared" si="19"/>
        <v>0</v>
      </c>
      <c r="Q104" s="21"/>
      <c r="R104" s="21"/>
      <c r="S104" s="21"/>
      <c r="T104" s="21"/>
      <c r="U104" s="21"/>
      <c r="V104" s="21"/>
      <c r="W104" s="21"/>
      <c r="X104" s="21"/>
      <c r="Y104" s="21"/>
      <c r="Z104" s="21"/>
    </row>
    <row r="105" spans="1:26">
      <c r="A105" s="43">
        <v>98</v>
      </c>
      <c r="B105" s="44" t="str">
        <f t="shared" si="20"/>
        <v>9-й год 2-й мес</v>
      </c>
      <c r="C105" s="45">
        <f t="shared" si="26"/>
        <v>44175</v>
      </c>
      <c r="D105" s="46">
        <f t="shared" si="16"/>
        <v>0</v>
      </c>
      <c r="E105" s="47">
        <f t="shared" si="21"/>
        <v>0</v>
      </c>
      <c r="F105" s="47">
        <f t="shared" si="27"/>
        <v>0</v>
      </c>
      <c r="G105" s="48">
        <f t="shared" si="22"/>
        <v>0</v>
      </c>
      <c r="H105" s="49">
        <f t="shared" si="17"/>
        <v>0</v>
      </c>
      <c r="I105" s="47">
        <f t="shared" si="28"/>
        <v>0</v>
      </c>
      <c r="J105" s="47">
        <f t="shared" si="23"/>
        <v>0</v>
      </c>
      <c r="K105" s="50">
        <f t="shared" si="24"/>
        <v>0</v>
      </c>
      <c r="L105" s="63"/>
      <c r="M105" s="64"/>
      <c r="N105" s="51">
        <f t="shared" si="18"/>
        <v>7</v>
      </c>
      <c r="O105" s="19">
        <f t="shared" si="25"/>
        <v>10</v>
      </c>
      <c r="P105" s="20">
        <f t="shared" si="19"/>
        <v>0</v>
      </c>
      <c r="Q105" s="21"/>
      <c r="R105" s="21"/>
      <c r="S105" s="21"/>
      <c r="T105" s="21"/>
      <c r="U105" s="21"/>
      <c r="V105" s="21"/>
      <c r="W105" s="21"/>
      <c r="X105" s="21"/>
      <c r="Y105" s="21"/>
      <c r="Z105" s="21"/>
    </row>
    <row r="106" spans="1:26">
      <c r="A106" s="43">
        <v>99</v>
      </c>
      <c r="B106" s="44" t="str">
        <f t="shared" si="20"/>
        <v>9-й год 3-й мес</v>
      </c>
      <c r="C106" s="45">
        <f t="shared" si="26"/>
        <v>44206</v>
      </c>
      <c r="D106" s="46">
        <f t="shared" si="16"/>
        <v>0</v>
      </c>
      <c r="E106" s="47">
        <f t="shared" si="21"/>
        <v>0</v>
      </c>
      <c r="F106" s="47">
        <f t="shared" si="27"/>
        <v>0</v>
      </c>
      <c r="G106" s="48">
        <f t="shared" si="22"/>
        <v>0</v>
      </c>
      <c r="H106" s="49">
        <f t="shared" si="17"/>
        <v>0</v>
      </c>
      <c r="I106" s="47">
        <f t="shared" si="28"/>
        <v>0</v>
      </c>
      <c r="J106" s="47">
        <f t="shared" si="23"/>
        <v>0</v>
      </c>
      <c r="K106" s="50">
        <f t="shared" si="24"/>
        <v>0</v>
      </c>
      <c r="L106" s="63"/>
      <c r="M106" s="64"/>
      <c r="N106" s="51">
        <f t="shared" si="18"/>
        <v>7</v>
      </c>
      <c r="O106" s="19">
        <f t="shared" si="25"/>
        <v>10</v>
      </c>
      <c r="P106" s="20">
        <f t="shared" si="19"/>
        <v>0</v>
      </c>
      <c r="Q106" s="21"/>
      <c r="R106" s="21"/>
      <c r="S106" s="21"/>
      <c r="T106" s="21"/>
      <c r="U106" s="21"/>
      <c r="V106" s="21"/>
      <c r="W106" s="21"/>
      <c r="X106" s="21"/>
      <c r="Y106" s="21"/>
      <c r="Z106" s="21"/>
    </row>
    <row r="107" spans="1:26">
      <c r="A107" s="43">
        <v>100</v>
      </c>
      <c r="B107" s="44" t="str">
        <f t="shared" si="20"/>
        <v>9-й год 4-й мес</v>
      </c>
      <c r="C107" s="45">
        <f t="shared" si="26"/>
        <v>44237</v>
      </c>
      <c r="D107" s="46">
        <f t="shared" si="16"/>
        <v>0</v>
      </c>
      <c r="E107" s="47">
        <f t="shared" si="21"/>
        <v>0</v>
      </c>
      <c r="F107" s="47">
        <f t="shared" si="27"/>
        <v>0</v>
      </c>
      <c r="G107" s="48">
        <f t="shared" si="22"/>
        <v>0</v>
      </c>
      <c r="H107" s="49">
        <f t="shared" si="17"/>
        <v>0</v>
      </c>
      <c r="I107" s="47">
        <f t="shared" si="28"/>
        <v>0</v>
      </c>
      <c r="J107" s="47">
        <f t="shared" si="23"/>
        <v>0</v>
      </c>
      <c r="K107" s="50">
        <f t="shared" si="24"/>
        <v>0</v>
      </c>
      <c r="L107" s="63"/>
      <c r="M107" s="64"/>
      <c r="N107" s="51">
        <f t="shared" si="18"/>
        <v>7</v>
      </c>
      <c r="O107" s="19">
        <f t="shared" si="25"/>
        <v>10</v>
      </c>
      <c r="P107" s="20">
        <f t="shared" si="19"/>
        <v>0</v>
      </c>
      <c r="Q107" s="21"/>
      <c r="R107" s="21"/>
      <c r="S107" s="21"/>
      <c r="T107" s="21"/>
      <c r="U107" s="21"/>
      <c r="V107" s="21"/>
      <c r="W107" s="21"/>
      <c r="X107" s="21"/>
      <c r="Y107" s="21"/>
      <c r="Z107" s="21"/>
    </row>
    <row r="108" spans="1:26">
      <c r="A108" s="43">
        <v>101</v>
      </c>
      <c r="B108" s="44" t="str">
        <f t="shared" si="20"/>
        <v>9-й год 5-й мес</v>
      </c>
      <c r="C108" s="45">
        <f t="shared" si="26"/>
        <v>44265</v>
      </c>
      <c r="D108" s="46">
        <f t="shared" si="16"/>
        <v>0</v>
      </c>
      <c r="E108" s="47">
        <f t="shared" si="21"/>
        <v>0</v>
      </c>
      <c r="F108" s="47">
        <f t="shared" si="27"/>
        <v>0</v>
      </c>
      <c r="G108" s="48">
        <f t="shared" si="22"/>
        <v>0</v>
      </c>
      <c r="H108" s="49">
        <f t="shared" si="17"/>
        <v>0</v>
      </c>
      <c r="I108" s="47">
        <f t="shared" si="28"/>
        <v>0</v>
      </c>
      <c r="J108" s="47">
        <f t="shared" si="23"/>
        <v>0</v>
      </c>
      <c r="K108" s="50">
        <f t="shared" si="24"/>
        <v>0</v>
      </c>
      <c r="L108" s="63"/>
      <c r="M108" s="64"/>
      <c r="N108" s="51">
        <f t="shared" si="18"/>
        <v>7</v>
      </c>
      <c r="O108" s="19">
        <f t="shared" si="25"/>
        <v>10</v>
      </c>
      <c r="P108" s="20">
        <f t="shared" si="19"/>
        <v>0</v>
      </c>
      <c r="Q108" s="21"/>
      <c r="R108" s="21"/>
      <c r="S108" s="21"/>
      <c r="T108" s="21"/>
      <c r="U108" s="21"/>
      <c r="V108" s="21"/>
      <c r="W108" s="21"/>
      <c r="X108" s="21"/>
      <c r="Y108" s="21"/>
      <c r="Z108" s="21"/>
    </row>
    <row r="109" spans="1:26">
      <c r="A109" s="43">
        <v>102</v>
      </c>
      <c r="B109" s="44" t="str">
        <f t="shared" si="20"/>
        <v>9-й год 6-й мес</v>
      </c>
      <c r="C109" s="45">
        <f t="shared" si="26"/>
        <v>44296</v>
      </c>
      <c r="D109" s="46">
        <f t="shared" si="16"/>
        <v>0</v>
      </c>
      <c r="E109" s="47">
        <f t="shared" si="21"/>
        <v>0</v>
      </c>
      <c r="F109" s="47">
        <f t="shared" si="27"/>
        <v>0</v>
      </c>
      <c r="G109" s="48">
        <f t="shared" si="22"/>
        <v>0</v>
      </c>
      <c r="H109" s="49">
        <f t="shared" si="17"/>
        <v>0</v>
      </c>
      <c r="I109" s="47">
        <f t="shared" si="28"/>
        <v>0</v>
      </c>
      <c r="J109" s="47">
        <f t="shared" si="23"/>
        <v>0</v>
      </c>
      <c r="K109" s="50">
        <f t="shared" si="24"/>
        <v>0</v>
      </c>
      <c r="L109" s="63"/>
      <c r="M109" s="64"/>
      <c r="N109" s="51">
        <f t="shared" si="18"/>
        <v>7</v>
      </c>
      <c r="O109" s="19">
        <f t="shared" si="25"/>
        <v>10</v>
      </c>
      <c r="P109" s="20">
        <f t="shared" si="19"/>
        <v>0</v>
      </c>
      <c r="Q109" s="21"/>
      <c r="R109" s="21"/>
      <c r="S109" s="21"/>
      <c r="T109" s="21"/>
      <c r="U109" s="21"/>
      <c r="V109" s="21"/>
      <c r="W109" s="21"/>
      <c r="X109" s="21"/>
      <c r="Y109" s="21"/>
      <c r="Z109" s="21"/>
    </row>
    <row r="110" spans="1:26">
      <c r="A110" s="43">
        <v>103</v>
      </c>
      <c r="B110" s="44" t="str">
        <f t="shared" si="20"/>
        <v>9-й год 7-й мес</v>
      </c>
      <c r="C110" s="45">
        <f t="shared" si="26"/>
        <v>44326</v>
      </c>
      <c r="D110" s="46">
        <f t="shared" si="16"/>
        <v>0</v>
      </c>
      <c r="E110" s="47">
        <f t="shared" si="21"/>
        <v>0</v>
      </c>
      <c r="F110" s="47">
        <f t="shared" si="27"/>
        <v>0</v>
      </c>
      <c r="G110" s="48">
        <f t="shared" si="22"/>
        <v>0</v>
      </c>
      <c r="H110" s="49">
        <f t="shared" si="17"/>
        <v>0</v>
      </c>
      <c r="I110" s="47">
        <f t="shared" si="28"/>
        <v>0</v>
      </c>
      <c r="J110" s="47">
        <f t="shared" si="23"/>
        <v>0</v>
      </c>
      <c r="K110" s="50">
        <f t="shared" si="24"/>
        <v>0</v>
      </c>
      <c r="L110" s="63"/>
      <c r="M110" s="64"/>
      <c r="N110" s="51">
        <f t="shared" si="18"/>
        <v>7</v>
      </c>
      <c r="O110" s="19">
        <f t="shared" si="25"/>
        <v>10</v>
      </c>
      <c r="P110" s="20">
        <f t="shared" si="19"/>
        <v>0</v>
      </c>
      <c r="Q110" s="21"/>
      <c r="R110" s="21"/>
      <c r="S110" s="21"/>
      <c r="T110" s="21"/>
      <c r="U110" s="21"/>
      <c r="V110" s="21"/>
      <c r="W110" s="21"/>
      <c r="X110" s="21"/>
      <c r="Y110" s="21"/>
      <c r="Z110" s="21"/>
    </row>
    <row r="111" spans="1:26">
      <c r="A111" s="43">
        <v>104</v>
      </c>
      <c r="B111" s="44" t="str">
        <f t="shared" si="20"/>
        <v>9-й год 8-й мес</v>
      </c>
      <c r="C111" s="45">
        <f t="shared" si="26"/>
        <v>44357</v>
      </c>
      <c r="D111" s="46">
        <f t="shared" si="16"/>
        <v>0</v>
      </c>
      <c r="E111" s="47">
        <f t="shared" si="21"/>
        <v>0</v>
      </c>
      <c r="F111" s="47">
        <f t="shared" si="27"/>
        <v>0</v>
      </c>
      <c r="G111" s="48">
        <f t="shared" si="22"/>
        <v>0</v>
      </c>
      <c r="H111" s="49">
        <f t="shared" si="17"/>
        <v>0</v>
      </c>
      <c r="I111" s="47">
        <f t="shared" si="28"/>
        <v>0</v>
      </c>
      <c r="J111" s="47">
        <f t="shared" si="23"/>
        <v>0</v>
      </c>
      <c r="K111" s="50">
        <f t="shared" si="24"/>
        <v>0</v>
      </c>
      <c r="L111" s="63"/>
      <c r="M111" s="64"/>
      <c r="N111" s="51">
        <f t="shared" si="18"/>
        <v>7</v>
      </c>
      <c r="O111" s="19">
        <f t="shared" si="25"/>
        <v>10</v>
      </c>
      <c r="P111" s="20">
        <f t="shared" si="19"/>
        <v>0</v>
      </c>
      <c r="Q111" s="21"/>
      <c r="R111" s="21"/>
      <c r="S111" s="21"/>
      <c r="T111" s="21"/>
      <c r="U111" s="21"/>
      <c r="V111" s="21"/>
      <c r="W111" s="21"/>
      <c r="X111" s="21"/>
      <c r="Y111" s="21"/>
      <c r="Z111" s="21"/>
    </row>
    <row r="112" spans="1:26">
      <c r="A112" s="43">
        <v>105</v>
      </c>
      <c r="B112" s="44" t="str">
        <f t="shared" si="20"/>
        <v>9-й год 9-й мес</v>
      </c>
      <c r="C112" s="45">
        <f t="shared" si="26"/>
        <v>44387</v>
      </c>
      <c r="D112" s="46">
        <f t="shared" si="16"/>
        <v>0</v>
      </c>
      <c r="E112" s="47">
        <f t="shared" si="21"/>
        <v>0</v>
      </c>
      <c r="F112" s="47">
        <f t="shared" si="27"/>
        <v>0</v>
      </c>
      <c r="G112" s="48">
        <f t="shared" si="22"/>
        <v>0</v>
      </c>
      <c r="H112" s="49">
        <f t="shared" si="17"/>
        <v>0</v>
      </c>
      <c r="I112" s="47">
        <f t="shared" si="28"/>
        <v>0</v>
      </c>
      <c r="J112" s="47">
        <f t="shared" si="23"/>
        <v>0</v>
      </c>
      <c r="K112" s="50">
        <f t="shared" si="24"/>
        <v>0</v>
      </c>
      <c r="L112" s="63"/>
      <c r="M112" s="64"/>
      <c r="N112" s="51">
        <f t="shared" si="18"/>
        <v>7</v>
      </c>
      <c r="O112" s="19">
        <f t="shared" si="25"/>
        <v>10</v>
      </c>
      <c r="P112" s="20">
        <f t="shared" si="19"/>
        <v>0</v>
      </c>
      <c r="Q112" s="21"/>
      <c r="R112" s="21"/>
      <c r="S112" s="21"/>
      <c r="T112" s="21"/>
      <c r="U112" s="21"/>
      <c r="V112" s="21"/>
      <c r="W112" s="21"/>
      <c r="X112" s="21"/>
      <c r="Y112" s="21"/>
      <c r="Z112" s="21"/>
    </row>
    <row r="113" spans="1:26">
      <c r="A113" s="43">
        <v>106</v>
      </c>
      <c r="B113" s="44" t="str">
        <f t="shared" si="20"/>
        <v>9-й год 10-й мес</v>
      </c>
      <c r="C113" s="45">
        <f t="shared" si="26"/>
        <v>44418</v>
      </c>
      <c r="D113" s="46">
        <f t="shared" si="16"/>
        <v>0</v>
      </c>
      <c r="E113" s="47">
        <f t="shared" si="21"/>
        <v>0</v>
      </c>
      <c r="F113" s="47">
        <f t="shared" si="27"/>
        <v>0</v>
      </c>
      <c r="G113" s="48">
        <f t="shared" si="22"/>
        <v>0</v>
      </c>
      <c r="H113" s="49">
        <f t="shared" si="17"/>
        <v>0</v>
      </c>
      <c r="I113" s="47">
        <f t="shared" si="28"/>
        <v>0</v>
      </c>
      <c r="J113" s="47">
        <f t="shared" si="23"/>
        <v>0</v>
      </c>
      <c r="K113" s="50">
        <f t="shared" si="24"/>
        <v>0</v>
      </c>
      <c r="L113" s="63"/>
      <c r="M113" s="64"/>
      <c r="N113" s="51">
        <f t="shared" si="18"/>
        <v>7</v>
      </c>
      <c r="O113" s="19">
        <f t="shared" si="25"/>
        <v>10</v>
      </c>
      <c r="P113" s="20">
        <f t="shared" si="19"/>
        <v>0</v>
      </c>
      <c r="Q113" s="21"/>
      <c r="R113" s="21"/>
      <c r="S113" s="21"/>
      <c r="T113" s="21"/>
      <c r="U113" s="21"/>
      <c r="V113" s="21"/>
      <c r="W113" s="21"/>
      <c r="X113" s="21"/>
      <c r="Y113" s="21"/>
      <c r="Z113" s="21"/>
    </row>
    <row r="114" spans="1:26">
      <c r="A114" s="43">
        <v>107</v>
      </c>
      <c r="B114" s="44" t="str">
        <f t="shared" si="20"/>
        <v>9-й год 11-й мес</v>
      </c>
      <c r="C114" s="45">
        <f t="shared" si="26"/>
        <v>44449</v>
      </c>
      <c r="D114" s="46">
        <f t="shared" si="16"/>
        <v>0</v>
      </c>
      <c r="E114" s="47">
        <f t="shared" si="21"/>
        <v>0</v>
      </c>
      <c r="F114" s="47">
        <f t="shared" si="27"/>
        <v>0</v>
      </c>
      <c r="G114" s="48">
        <f t="shared" si="22"/>
        <v>0</v>
      </c>
      <c r="H114" s="49">
        <f t="shared" si="17"/>
        <v>0</v>
      </c>
      <c r="I114" s="47">
        <f t="shared" si="28"/>
        <v>0</v>
      </c>
      <c r="J114" s="47">
        <f t="shared" si="23"/>
        <v>0</v>
      </c>
      <c r="K114" s="50">
        <f t="shared" si="24"/>
        <v>0</v>
      </c>
      <c r="L114" s="63"/>
      <c r="M114" s="64"/>
      <c r="N114" s="51">
        <f t="shared" si="18"/>
        <v>7</v>
      </c>
      <c r="O114" s="19">
        <f t="shared" si="25"/>
        <v>10</v>
      </c>
      <c r="P114" s="20">
        <f t="shared" si="19"/>
        <v>0</v>
      </c>
      <c r="Q114" s="21"/>
      <c r="R114" s="21"/>
      <c r="S114" s="21"/>
      <c r="T114" s="21"/>
      <c r="U114" s="21"/>
      <c r="V114" s="21"/>
      <c r="W114" s="21"/>
      <c r="X114" s="21"/>
      <c r="Y114" s="21"/>
      <c r="Z114" s="21"/>
    </row>
    <row r="115" spans="1:26">
      <c r="A115" s="43">
        <v>108</v>
      </c>
      <c r="B115" s="44" t="str">
        <f t="shared" si="20"/>
        <v>9-й год 12-й мес</v>
      </c>
      <c r="C115" s="45">
        <f t="shared" si="26"/>
        <v>44479</v>
      </c>
      <c r="D115" s="46">
        <f t="shared" si="16"/>
        <v>0</v>
      </c>
      <c r="E115" s="47">
        <f t="shared" si="21"/>
        <v>0</v>
      </c>
      <c r="F115" s="47">
        <f t="shared" si="27"/>
        <v>0</v>
      </c>
      <c r="G115" s="48">
        <f t="shared" si="22"/>
        <v>0</v>
      </c>
      <c r="H115" s="49">
        <f t="shared" si="17"/>
        <v>0</v>
      </c>
      <c r="I115" s="47">
        <f t="shared" si="28"/>
        <v>0</v>
      </c>
      <c r="J115" s="47">
        <f t="shared" si="23"/>
        <v>0</v>
      </c>
      <c r="K115" s="50">
        <f t="shared" si="24"/>
        <v>0</v>
      </c>
      <c r="L115" s="63"/>
      <c r="M115" s="64"/>
      <c r="N115" s="51">
        <f t="shared" si="18"/>
        <v>7</v>
      </c>
      <c r="O115" s="19">
        <f t="shared" si="25"/>
        <v>10</v>
      </c>
      <c r="P115" s="20">
        <f t="shared" si="19"/>
        <v>0</v>
      </c>
      <c r="Q115" s="21"/>
      <c r="R115" s="21"/>
      <c r="S115" s="21"/>
      <c r="T115" s="21"/>
      <c r="U115" s="21"/>
      <c r="V115" s="21"/>
      <c r="W115" s="21"/>
      <c r="X115" s="21"/>
      <c r="Y115" s="21"/>
      <c r="Z115" s="21"/>
    </row>
    <row r="116" spans="1:26">
      <c r="A116" s="52">
        <v>109</v>
      </c>
      <c r="B116" s="44" t="str">
        <f t="shared" si="20"/>
        <v>10-й год 1-й мес</v>
      </c>
      <c r="C116" s="45">
        <f t="shared" si="26"/>
        <v>44510</v>
      </c>
      <c r="D116" s="46">
        <f t="shared" si="16"/>
        <v>0</v>
      </c>
      <c r="E116" s="53">
        <f t="shared" si="21"/>
        <v>0</v>
      </c>
      <c r="F116" s="47">
        <f t="shared" si="27"/>
        <v>0</v>
      </c>
      <c r="G116" s="54">
        <f t="shared" si="22"/>
        <v>0</v>
      </c>
      <c r="H116" s="55">
        <f t="shared" si="17"/>
        <v>0</v>
      </c>
      <c r="I116" s="53">
        <f t="shared" si="28"/>
        <v>0</v>
      </c>
      <c r="J116" s="53">
        <f t="shared" si="23"/>
        <v>0</v>
      </c>
      <c r="K116" s="56">
        <f t="shared" si="24"/>
        <v>0</v>
      </c>
      <c r="L116" s="65"/>
      <c r="M116" s="64"/>
      <c r="N116" s="51">
        <f t="shared" si="18"/>
        <v>7</v>
      </c>
      <c r="O116" s="19">
        <f t="shared" si="25"/>
        <v>10</v>
      </c>
      <c r="P116" s="20">
        <f t="shared" si="19"/>
        <v>0</v>
      </c>
      <c r="Q116" s="21"/>
      <c r="R116" s="21"/>
      <c r="S116" s="21"/>
      <c r="T116" s="21"/>
      <c r="U116" s="21"/>
      <c r="V116" s="21"/>
      <c r="W116" s="21"/>
      <c r="X116" s="21"/>
      <c r="Y116" s="21"/>
      <c r="Z116" s="21"/>
    </row>
    <row r="117" spans="1:26">
      <c r="A117" s="57">
        <v>110</v>
      </c>
      <c r="B117" s="44" t="str">
        <f t="shared" si="20"/>
        <v>10-й год 2-й мес</v>
      </c>
      <c r="C117" s="45">
        <f t="shared" si="26"/>
        <v>44540</v>
      </c>
      <c r="D117" s="46">
        <f t="shared" si="16"/>
        <v>0</v>
      </c>
      <c r="E117" s="47">
        <f t="shared" si="21"/>
        <v>0</v>
      </c>
      <c r="F117" s="47">
        <f t="shared" si="27"/>
        <v>0</v>
      </c>
      <c r="G117" s="48">
        <f t="shared" si="22"/>
        <v>0</v>
      </c>
      <c r="H117" s="49">
        <f t="shared" si="17"/>
        <v>0</v>
      </c>
      <c r="I117" s="47">
        <f t="shared" si="28"/>
        <v>0</v>
      </c>
      <c r="J117" s="47">
        <f t="shared" si="23"/>
        <v>0</v>
      </c>
      <c r="K117" s="50">
        <f t="shared" si="24"/>
        <v>0</v>
      </c>
      <c r="L117" s="63"/>
      <c r="M117" s="64"/>
      <c r="N117" s="51">
        <f t="shared" si="18"/>
        <v>7</v>
      </c>
      <c r="O117" s="19">
        <f t="shared" si="25"/>
        <v>10</v>
      </c>
      <c r="P117" s="20">
        <f t="shared" si="19"/>
        <v>0</v>
      </c>
      <c r="Q117" s="21"/>
      <c r="R117" s="21"/>
      <c r="S117" s="21"/>
      <c r="T117" s="21"/>
      <c r="U117" s="21"/>
      <c r="V117" s="21"/>
      <c r="W117" s="21"/>
      <c r="X117" s="21"/>
      <c r="Y117" s="21"/>
      <c r="Z117" s="21"/>
    </row>
    <row r="118" spans="1:26">
      <c r="A118" s="57">
        <v>111</v>
      </c>
      <c r="B118" s="44" t="str">
        <f t="shared" si="20"/>
        <v>10-й год 3-й мес</v>
      </c>
      <c r="C118" s="45">
        <f t="shared" si="26"/>
        <v>44571</v>
      </c>
      <c r="D118" s="46">
        <f t="shared" si="16"/>
        <v>0</v>
      </c>
      <c r="E118" s="47">
        <f t="shared" si="21"/>
        <v>0</v>
      </c>
      <c r="F118" s="47">
        <f t="shared" si="27"/>
        <v>0</v>
      </c>
      <c r="G118" s="48">
        <f t="shared" si="22"/>
        <v>0</v>
      </c>
      <c r="H118" s="49">
        <f t="shared" si="17"/>
        <v>0</v>
      </c>
      <c r="I118" s="47">
        <f t="shared" si="28"/>
        <v>0</v>
      </c>
      <c r="J118" s="47">
        <f t="shared" si="23"/>
        <v>0</v>
      </c>
      <c r="K118" s="50">
        <f t="shared" si="24"/>
        <v>0</v>
      </c>
      <c r="L118" s="63"/>
      <c r="M118" s="64"/>
      <c r="N118" s="51">
        <f t="shared" si="18"/>
        <v>7</v>
      </c>
      <c r="O118" s="19">
        <f t="shared" si="25"/>
        <v>10</v>
      </c>
      <c r="P118" s="20">
        <f t="shared" si="19"/>
        <v>0</v>
      </c>
      <c r="Q118" s="21"/>
      <c r="R118" s="21"/>
      <c r="S118" s="21"/>
      <c r="T118" s="21"/>
      <c r="U118" s="21"/>
      <c r="V118" s="21"/>
      <c r="W118" s="21"/>
      <c r="X118" s="21"/>
      <c r="Y118" s="21"/>
      <c r="Z118" s="21"/>
    </row>
    <row r="119" spans="1:26">
      <c r="A119" s="57">
        <v>112</v>
      </c>
      <c r="B119" s="44" t="str">
        <f t="shared" si="20"/>
        <v>10-й год 4-й мес</v>
      </c>
      <c r="C119" s="45">
        <f t="shared" si="26"/>
        <v>44602</v>
      </c>
      <c r="D119" s="46">
        <f t="shared" si="16"/>
        <v>0</v>
      </c>
      <c r="E119" s="47">
        <f t="shared" si="21"/>
        <v>0</v>
      </c>
      <c r="F119" s="47">
        <f t="shared" si="27"/>
        <v>0</v>
      </c>
      <c r="G119" s="48">
        <f t="shared" si="22"/>
        <v>0</v>
      </c>
      <c r="H119" s="49">
        <f t="shared" si="17"/>
        <v>0</v>
      </c>
      <c r="I119" s="47">
        <f t="shared" si="28"/>
        <v>0</v>
      </c>
      <c r="J119" s="47">
        <f t="shared" si="23"/>
        <v>0</v>
      </c>
      <c r="K119" s="50">
        <f t="shared" si="24"/>
        <v>0</v>
      </c>
      <c r="L119" s="63"/>
      <c r="M119" s="64"/>
      <c r="N119" s="51">
        <f t="shared" si="18"/>
        <v>7</v>
      </c>
      <c r="O119" s="19">
        <f t="shared" si="25"/>
        <v>10</v>
      </c>
      <c r="P119" s="20">
        <f t="shared" si="19"/>
        <v>0</v>
      </c>
      <c r="Q119" s="21"/>
      <c r="R119" s="21"/>
      <c r="S119" s="21"/>
      <c r="T119" s="21"/>
      <c r="U119" s="21"/>
      <c r="V119" s="21"/>
      <c r="W119" s="21"/>
      <c r="X119" s="21"/>
      <c r="Y119" s="21"/>
      <c r="Z119" s="21"/>
    </row>
    <row r="120" spans="1:26">
      <c r="A120" s="57">
        <v>113</v>
      </c>
      <c r="B120" s="44" t="str">
        <f t="shared" si="20"/>
        <v>10-й год 5-й мес</v>
      </c>
      <c r="C120" s="45">
        <f t="shared" si="26"/>
        <v>44630</v>
      </c>
      <c r="D120" s="46">
        <f t="shared" si="16"/>
        <v>0</v>
      </c>
      <c r="E120" s="47">
        <f t="shared" si="21"/>
        <v>0</v>
      </c>
      <c r="F120" s="47">
        <f t="shared" si="27"/>
        <v>0</v>
      </c>
      <c r="G120" s="48">
        <f t="shared" si="22"/>
        <v>0</v>
      </c>
      <c r="H120" s="49">
        <f t="shared" si="17"/>
        <v>0</v>
      </c>
      <c r="I120" s="47">
        <f t="shared" si="28"/>
        <v>0</v>
      </c>
      <c r="J120" s="47">
        <f t="shared" si="23"/>
        <v>0</v>
      </c>
      <c r="K120" s="50">
        <f t="shared" si="24"/>
        <v>0</v>
      </c>
      <c r="L120" s="63"/>
      <c r="M120" s="64"/>
      <c r="N120" s="51">
        <f t="shared" si="18"/>
        <v>7</v>
      </c>
      <c r="O120" s="19">
        <f t="shared" si="25"/>
        <v>10</v>
      </c>
      <c r="P120" s="20">
        <f t="shared" si="19"/>
        <v>0</v>
      </c>
      <c r="Q120" s="21"/>
      <c r="R120" s="21"/>
      <c r="S120" s="21"/>
      <c r="T120" s="21"/>
      <c r="U120" s="21"/>
      <c r="V120" s="21"/>
      <c r="W120" s="21"/>
      <c r="X120" s="21"/>
      <c r="Y120" s="21"/>
      <c r="Z120" s="21"/>
    </row>
    <row r="121" spans="1:26">
      <c r="A121" s="57">
        <v>114</v>
      </c>
      <c r="B121" s="44" t="str">
        <f t="shared" si="20"/>
        <v>10-й год 6-й мес</v>
      </c>
      <c r="C121" s="45">
        <f t="shared" si="26"/>
        <v>44661</v>
      </c>
      <c r="D121" s="46">
        <f t="shared" si="16"/>
        <v>0</v>
      </c>
      <c r="E121" s="47">
        <f t="shared" si="21"/>
        <v>0</v>
      </c>
      <c r="F121" s="47">
        <f t="shared" si="27"/>
        <v>0</v>
      </c>
      <c r="G121" s="48">
        <f t="shared" si="22"/>
        <v>0</v>
      </c>
      <c r="H121" s="49">
        <f t="shared" si="17"/>
        <v>0</v>
      </c>
      <c r="I121" s="47">
        <f t="shared" si="28"/>
        <v>0</v>
      </c>
      <c r="J121" s="47">
        <f t="shared" si="23"/>
        <v>0</v>
      </c>
      <c r="K121" s="50">
        <f t="shared" si="24"/>
        <v>0</v>
      </c>
      <c r="L121" s="63"/>
      <c r="M121" s="64"/>
      <c r="N121" s="51">
        <f t="shared" si="18"/>
        <v>7</v>
      </c>
      <c r="O121" s="19">
        <f t="shared" si="25"/>
        <v>10</v>
      </c>
      <c r="P121" s="20">
        <f t="shared" si="19"/>
        <v>0</v>
      </c>
      <c r="Q121" s="21"/>
      <c r="R121" s="21"/>
      <c r="S121" s="21"/>
      <c r="T121" s="21"/>
      <c r="U121" s="21"/>
      <c r="V121" s="21"/>
      <c r="W121" s="21"/>
      <c r="X121" s="21"/>
      <c r="Y121" s="21"/>
      <c r="Z121" s="21"/>
    </row>
    <row r="122" spans="1:26">
      <c r="A122" s="57">
        <v>115</v>
      </c>
      <c r="B122" s="44" t="str">
        <f t="shared" si="20"/>
        <v>10-й год 7-й мес</v>
      </c>
      <c r="C122" s="45">
        <f t="shared" si="26"/>
        <v>44691</v>
      </c>
      <c r="D122" s="46">
        <f t="shared" si="16"/>
        <v>0</v>
      </c>
      <c r="E122" s="47">
        <f t="shared" si="21"/>
        <v>0</v>
      </c>
      <c r="F122" s="47">
        <f t="shared" si="27"/>
        <v>0</v>
      </c>
      <c r="G122" s="48">
        <f t="shared" si="22"/>
        <v>0</v>
      </c>
      <c r="H122" s="49">
        <f t="shared" si="17"/>
        <v>0</v>
      </c>
      <c r="I122" s="47">
        <f t="shared" si="28"/>
        <v>0</v>
      </c>
      <c r="J122" s="47">
        <f t="shared" si="23"/>
        <v>0</v>
      </c>
      <c r="K122" s="50">
        <f t="shared" si="24"/>
        <v>0</v>
      </c>
      <c r="L122" s="63"/>
      <c r="M122" s="64"/>
      <c r="N122" s="51">
        <f t="shared" si="18"/>
        <v>7</v>
      </c>
      <c r="O122" s="19">
        <f t="shared" si="25"/>
        <v>10</v>
      </c>
      <c r="P122" s="20">
        <f t="shared" si="19"/>
        <v>0</v>
      </c>
      <c r="Q122" s="21"/>
      <c r="R122" s="21"/>
      <c r="S122" s="21"/>
      <c r="T122" s="21"/>
      <c r="U122" s="21"/>
      <c r="V122" s="21"/>
      <c r="W122" s="21"/>
      <c r="X122" s="21"/>
      <c r="Y122" s="21"/>
      <c r="Z122" s="21"/>
    </row>
    <row r="123" spans="1:26">
      <c r="A123" s="57">
        <v>116</v>
      </c>
      <c r="B123" s="44" t="str">
        <f t="shared" si="20"/>
        <v>10-й год 8-й мес</v>
      </c>
      <c r="C123" s="45">
        <f t="shared" si="26"/>
        <v>44722</v>
      </c>
      <c r="D123" s="46">
        <f t="shared" si="16"/>
        <v>0</v>
      </c>
      <c r="E123" s="47">
        <f t="shared" si="21"/>
        <v>0</v>
      </c>
      <c r="F123" s="47">
        <f t="shared" si="27"/>
        <v>0</v>
      </c>
      <c r="G123" s="48">
        <f t="shared" si="22"/>
        <v>0</v>
      </c>
      <c r="H123" s="49">
        <f t="shared" si="17"/>
        <v>0</v>
      </c>
      <c r="I123" s="47">
        <f t="shared" si="28"/>
        <v>0</v>
      </c>
      <c r="J123" s="47">
        <f t="shared" si="23"/>
        <v>0</v>
      </c>
      <c r="K123" s="50">
        <f t="shared" si="24"/>
        <v>0</v>
      </c>
      <c r="L123" s="63"/>
      <c r="M123" s="64"/>
      <c r="N123" s="51">
        <f t="shared" si="18"/>
        <v>7</v>
      </c>
      <c r="O123" s="19">
        <f t="shared" si="25"/>
        <v>10</v>
      </c>
      <c r="P123" s="20">
        <f t="shared" si="19"/>
        <v>0</v>
      </c>
      <c r="Q123" s="21"/>
      <c r="R123" s="21"/>
      <c r="S123" s="21"/>
      <c r="T123" s="21"/>
      <c r="U123" s="21"/>
      <c r="V123" s="21"/>
      <c r="W123" s="21"/>
      <c r="X123" s="21"/>
      <c r="Y123" s="21"/>
      <c r="Z123" s="21"/>
    </row>
    <row r="124" spans="1:26">
      <c r="A124" s="57">
        <v>117</v>
      </c>
      <c r="B124" s="44" t="str">
        <f t="shared" si="20"/>
        <v>10-й год 9-й мес</v>
      </c>
      <c r="C124" s="45">
        <f t="shared" si="26"/>
        <v>44752</v>
      </c>
      <c r="D124" s="46">
        <f t="shared" si="16"/>
        <v>0</v>
      </c>
      <c r="E124" s="47">
        <f t="shared" si="21"/>
        <v>0</v>
      </c>
      <c r="F124" s="47">
        <f t="shared" si="27"/>
        <v>0</v>
      </c>
      <c r="G124" s="48">
        <f t="shared" si="22"/>
        <v>0</v>
      </c>
      <c r="H124" s="49">
        <f t="shared" si="17"/>
        <v>0</v>
      </c>
      <c r="I124" s="47">
        <f t="shared" si="28"/>
        <v>0</v>
      </c>
      <c r="J124" s="47">
        <f t="shared" si="23"/>
        <v>0</v>
      </c>
      <c r="K124" s="50">
        <f t="shared" si="24"/>
        <v>0</v>
      </c>
      <c r="L124" s="63"/>
      <c r="M124" s="64"/>
      <c r="N124" s="51">
        <f t="shared" si="18"/>
        <v>7</v>
      </c>
      <c r="O124" s="19">
        <f t="shared" si="25"/>
        <v>10</v>
      </c>
      <c r="P124" s="20">
        <f t="shared" si="19"/>
        <v>0</v>
      </c>
      <c r="Q124" s="21"/>
      <c r="R124" s="21"/>
      <c r="S124" s="21"/>
      <c r="T124" s="21"/>
      <c r="U124" s="21"/>
      <c r="V124" s="21"/>
      <c r="W124" s="21"/>
      <c r="X124" s="21"/>
      <c r="Y124" s="21"/>
      <c r="Z124" s="21"/>
    </row>
    <row r="125" spans="1:26">
      <c r="A125" s="57">
        <v>118</v>
      </c>
      <c r="B125" s="44" t="str">
        <f t="shared" si="20"/>
        <v>10-й год 10-й мес</v>
      </c>
      <c r="C125" s="45">
        <f t="shared" si="26"/>
        <v>44783</v>
      </c>
      <c r="D125" s="46">
        <f t="shared" si="16"/>
        <v>0</v>
      </c>
      <c r="E125" s="47">
        <f t="shared" si="21"/>
        <v>0</v>
      </c>
      <c r="F125" s="47">
        <f t="shared" si="27"/>
        <v>0</v>
      </c>
      <c r="G125" s="48">
        <f t="shared" si="22"/>
        <v>0</v>
      </c>
      <c r="H125" s="49">
        <f t="shared" si="17"/>
        <v>0</v>
      </c>
      <c r="I125" s="47">
        <f t="shared" si="28"/>
        <v>0</v>
      </c>
      <c r="J125" s="47">
        <f t="shared" si="23"/>
        <v>0</v>
      </c>
      <c r="K125" s="50">
        <f t="shared" si="24"/>
        <v>0</v>
      </c>
      <c r="L125" s="63"/>
      <c r="M125" s="64"/>
      <c r="N125" s="51">
        <f t="shared" si="18"/>
        <v>7</v>
      </c>
      <c r="O125" s="19">
        <f t="shared" si="25"/>
        <v>10</v>
      </c>
      <c r="P125" s="20">
        <f t="shared" si="19"/>
        <v>0</v>
      </c>
      <c r="Q125" s="21"/>
      <c r="R125" s="21"/>
      <c r="S125" s="21"/>
      <c r="T125" s="21"/>
      <c r="U125" s="21"/>
      <c r="V125" s="21"/>
      <c r="W125" s="21"/>
      <c r="X125" s="21"/>
      <c r="Y125" s="21"/>
      <c r="Z125" s="21"/>
    </row>
    <row r="126" spans="1:26">
      <c r="A126" s="57">
        <v>119</v>
      </c>
      <c r="B126" s="44" t="str">
        <f t="shared" si="20"/>
        <v>10-й год 11-й мес</v>
      </c>
      <c r="C126" s="45">
        <f t="shared" si="26"/>
        <v>44814</v>
      </c>
      <c r="D126" s="46">
        <f t="shared" si="16"/>
        <v>0</v>
      </c>
      <c r="E126" s="47">
        <f t="shared" si="21"/>
        <v>0</v>
      </c>
      <c r="F126" s="47">
        <f t="shared" si="27"/>
        <v>0</v>
      </c>
      <c r="G126" s="48">
        <f t="shared" si="22"/>
        <v>0</v>
      </c>
      <c r="H126" s="49">
        <f t="shared" si="17"/>
        <v>0</v>
      </c>
      <c r="I126" s="47">
        <f t="shared" si="28"/>
        <v>0</v>
      </c>
      <c r="J126" s="47">
        <f t="shared" si="23"/>
        <v>0</v>
      </c>
      <c r="K126" s="50">
        <f t="shared" si="24"/>
        <v>0</v>
      </c>
      <c r="L126" s="63"/>
      <c r="M126" s="64"/>
      <c r="N126" s="51">
        <f t="shared" si="18"/>
        <v>7</v>
      </c>
      <c r="O126" s="19">
        <f t="shared" si="25"/>
        <v>10</v>
      </c>
      <c r="P126" s="20">
        <f t="shared" si="19"/>
        <v>0</v>
      </c>
      <c r="Q126" s="21"/>
      <c r="R126" s="21"/>
      <c r="S126" s="21"/>
      <c r="T126" s="21"/>
      <c r="U126" s="21"/>
      <c r="V126" s="21"/>
      <c r="W126" s="21"/>
      <c r="X126" s="21"/>
      <c r="Y126" s="21"/>
      <c r="Z126" s="21"/>
    </row>
    <row r="127" spans="1:26">
      <c r="A127" s="58">
        <v>120</v>
      </c>
      <c r="B127" s="44" t="str">
        <f t="shared" si="20"/>
        <v>10-й год 12-й мес</v>
      </c>
      <c r="C127" s="45">
        <f t="shared" si="26"/>
        <v>44844</v>
      </c>
      <c r="D127" s="46">
        <f t="shared" si="16"/>
        <v>0</v>
      </c>
      <c r="E127" s="59">
        <f t="shared" si="21"/>
        <v>0</v>
      </c>
      <c r="F127" s="47">
        <f t="shared" si="27"/>
        <v>0</v>
      </c>
      <c r="G127" s="60">
        <f t="shared" si="22"/>
        <v>0</v>
      </c>
      <c r="H127" s="61">
        <f t="shared" si="17"/>
        <v>0</v>
      </c>
      <c r="I127" s="59">
        <f t="shared" si="28"/>
        <v>0</v>
      </c>
      <c r="J127" s="59">
        <f t="shared" si="23"/>
        <v>0</v>
      </c>
      <c r="K127" s="62">
        <f t="shared" si="24"/>
        <v>0</v>
      </c>
      <c r="L127" s="66"/>
      <c r="M127" s="64"/>
      <c r="N127" s="51">
        <f t="shared" si="18"/>
        <v>7</v>
      </c>
      <c r="O127" s="19">
        <f t="shared" si="25"/>
        <v>10</v>
      </c>
      <c r="P127" s="20">
        <f t="shared" si="19"/>
        <v>0</v>
      </c>
      <c r="Q127" s="21"/>
      <c r="R127" s="21"/>
      <c r="S127" s="21"/>
      <c r="T127" s="21"/>
      <c r="U127" s="21"/>
      <c r="V127" s="21"/>
      <c r="W127" s="21"/>
      <c r="X127" s="21"/>
      <c r="Y127" s="21"/>
      <c r="Z127" s="21"/>
    </row>
    <row r="128" spans="1:26">
      <c r="A128" s="43">
        <v>121</v>
      </c>
      <c r="B128" s="44" t="str">
        <f t="shared" si="20"/>
        <v>11-й год 1-й мес</v>
      </c>
      <c r="C128" s="45">
        <f t="shared" si="26"/>
        <v>44875</v>
      </c>
      <c r="D128" s="46">
        <f t="shared" si="16"/>
        <v>0</v>
      </c>
      <c r="E128" s="47">
        <f t="shared" si="21"/>
        <v>0</v>
      </c>
      <c r="F128" s="47">
        <f t="shared" si="27"/>
        <v>0</v>
      </c>
      <c r="G128" s="48">
        <f t="shared" si="22"/>
        <v>0</v>
      </c>
      <c r="H128" s="49">
        <f t="shared" si="17"/>
        <v>0</v>
      </c>
      <c r="I128" s="47">
        <f t="shared" si="28"/>
        <v>0</v>
      </c>
      <c r="J128" s="47">
        <f t="shared" si="23"/>
        <v>0</v>
      </c>
      <c r="K128" s="50">
        <f t="shared" si="24"/>
        <v>0</v>
      </c>
      <c r="L128" s="63"/>
      <c r="M128" s="64"/>
      <c r="N128" s="51">
        <f t="shared" si="18"/>
        <v>7</v>
      </c>
      <c r="O128" s="19">
        <f t="shared" si="25"/>
        <v>10</v>
      </c>
      <c r="P128" s="20">
        <f t="shared" si="19"/>
        <v>0</v>
      </c>
      <c r="Q128" s="21"/>
      <c r="R128" s="21"/>
      <c r="S128" s="21"/>
      <c r="T128" s="21"/>
      <c r="U128" s="21"/>
      <c r="V128" s="21"/>
      <c r="W128" s="21"/>
      <c r="X128" s="21"/>
      <c r="Y128" s="21"/>
      <c r="Z128" s="21"/>
    </row>
    <row r="129" spans="1:26">
      <c r="A129" s="43">
        <v>122</v>
      </c>
      <c r="B129" s="44" t="str">
        <f t="shared" si="20"/>
        <v>11-й год 2-й мес</v>
      </c>
      <c r="C129" s="45">
        <f t="shared" si="26"/>
        <v>44905</v>
      </c>
      <c r="D129" s="46">
        <f t="shared" si="16"/>
        <v>0</v>
      </c>
      <c r="E129" s="47">
        <f t="shared" si="21"/>
        <v>0</v>
      </c>
      <c r="F129" s="47">
        <f t="shared" si="27"/>
        <v>0</v>
      </c>
      <c r="G129" s="48">
        <f t="shared" si="22"/>
        <v>0</v>
      </c>
      <c r="H129" s="49">
        <f t="shared" si="17"/>
        <v>0</v>
      </c>
      <c r="I129" s="47">
        <f t="shared" si="28"/>
        <v>0</v>
      </c>
      <c r="J129" s="47">
        <f t="shared" si="23"/>
        <v>0</v>
      </c>
      <c r="K129" s="50">
        <f t="shared" si="24"/>
        <v>0</v>
      </c>
      <c r="L129" s="63"/>
      <c r="M129" s="64"/>
      <c r="N129" s="51">
        <f t="shared" si="18"/>
        <v>7</v>
      </c>
      <c r="O129" s="19">
        <f t="shared" si="25"/>
        <v>10</v>
      </c>
      <c r="P129" s="20">
        <f t="shared" si="19"/>
        <v>0</v>
      </c>
      <c r="Q129" s="21"/>
      <c r="R129" s="21"/>
      <c r="S129" s="21"/>
      <c r="T129" s="21"/>
      <c r="U129" s="21"/>
      <c r="V129" s="21"/>
      <c r="W129" s="21"/>
      <c r="X129" s="21"/>
      <c r="Y129" s="21"/>
      <c r="Z129" s="21"/>
    </row>
    <row r="130" spans="1:26">
      <c r="A130" s="43">
        <v>123</v>
      </c>
      <c r="B130" s="44" t="str">
        <f t="shared" si="20"/>
        <v>11-й год 3-й мес</v>
      </c>
      <c r="C130" s="45">
        <f t="shared" si="26"/>
        <v>44936</v>
      </c>
      <c r="D130" s="46">
        <f t="shared" si="16"/>
        <v>0</v>
      </c>
      <c r="E130" s="47">
        <f t="shared" si="21"/>
        <v>0</v>
      </c>
      <c r="F130" s="47">
        <f t="shared" si="27"/>
        <v>0</v>
      </c>
      <c r="G130" s="48">
        <f t="shared" si="22"/>
        <v>0</v>
      </c>
      <c r="H130" s="49">
        <f t="shared" si="17"/>
        <v>0</v>
      </c>
      <c r="I130" s="47">
        <f t="shared" si="28"/>
        <v>0</v>
      </c>
      <c r="J130" s="47">
        <f t="shared" si="23"/>
        <v>0</v>
      </c>
      <c r="K130" s="50">
        <f t="shared" si="24"/>
        <v>0</v>
      </c>
      <c r="L130" s="63"/>
      <c r="M130" s="64"/>
      <c r="N130" s="51">
        <f t="shared" si="18"/>
        <v>7</v>
      </c>
      <c r="O130" s="19">
        <f t="shared" si="25"/>
        <v>10</v>
      </c>
      <c r="P130" s="20">
        <f t="shared" si="19"/>
        <v>0</v>
      </c>
      <c r="Q130" s="21"/>
      <c r="R130" s="21"/>
      <c r="S130" s="21"/>
      <c r="T130" s="21"/>
      <c r="U130" s="21"/>
      <c r="V130" s="21"/>
      <c r="W130" s="21"/>
      <c r="X130" s="21"/>
      <c r="Y130" s="21"/>
      <c r="Z130" s="21"/>
    </row>
    <row r="131" spans="1:26">
      <c r="A131" s="43">
        <v>124</v>
      </c>
      <c r="B131" s="44" t="str">
        <f t="shared" si="20"/>
        <v>11-й год 4-й мес</v>
      </c>
      <c r="C131" s="45">
        <f t="shared" si="26"/>
        <v>44967</v>
      </c>
      <c r="D131" s="46">
        <f t="shared" si="16"/>
        <v>0</v>
      </c>
      <c r="E131" s="47">
        <f t="shared" si="21"/>
        <v>0</v>
      </c>
      <c r="F131" s="47">
        <f t="shared" si="27"/>
        <v>0</v>
      </c>
      <c r="G131" s="48">
        <f t="shared" si="22"/>
        <v>0</v>
      </c>
      <c r="H131" s="49">
        <f t="shared" si="17"/>
        <v>0</v>
      </c>
      <c r="I131" s="47">
        <f t="shared" si="28"/>
        <v>0</v>
      </c>
      <c r="J131" s="47">
        <f t="shared" si="23"/>
        <v>0</v>
      </c>
      <c r="K131" s="50">
        <f t="shared" si="24"/>
        <v>0</v>
      </c>
      <c r="L131" s="63"/>
      <c r="M131" s="64"/>
      <c r="N131" s="51">
        <f t="shared" si="18"/>
        <v>7</v>
      </c>
      <c r="O131" s="19">
        <f t="shared" si="25"/>
        <v>10</v>
      </c>
      <c r="P131" s="20">
        <f t="shared" si="19"/>
        <v>0</v>
      </c>
      <c r="Q131" s="21"/>
      <c r="R131" s="21"/>
      <c r="S131" s="21"/>
      <c r="T131" s="21"/>
      <c r="U131" s="21"/>
      <c r="V131" s="21"/>
      <c r="W131" s="21"/>
      <c r="X131" s="21"/>
      <c r="Y131" s="21"/>
      <c r="Z131" s="21"/>
    </row>
    <row r="132" spans="1:26">
      <c r="A132" s="43">
        <v>125</v>
      </c>
      <c r="B132" s="44" t="str">
        <f t="shared" si="20"/>
        <v>11-й год 5-й мес</v>
      </c>
      <c r="C132" s="45">
        <f t="shared" si="26"/>
        <v>44995</v>
      </c>
      <c r="D132" s="46">
        <f t="shared" si="16"/>
        <v>0</v>
      </c>
      <c r="E132" s="47">
        <f t="shared" si="21"/>
        <v>0</v>
      </c>
      <c r="F132" s="47">
        <f t="shared" si="27"/>
        <v>0</v>
      </c>
      <c r="G132" s="48">
        <f t="shared" si="22"/>
        <v>0</v>
      </c>
      <c r="H132" s="49">
        <f t="shared" si="17"/>
        <v>0</v>
      </c>
      <c r="I132" s="47">
        <f t="shared" si="28"/>
        <v>0</v>
      </c>
      <c r="J132" s="47">
        <f t="shared" si="23"/>
        <v>0</v>
      </c>
      <c r="K132" s="50">
        <f t="shared" si="24"/>
        <v>0</v>
      </c>
      <c r="L132" s="63"/>
      <c r="M132" s="64"/>
      <c r="N132" s="51">
        <f t="shared" si="18"/>
        <v>7</v>
      </c>
      <c r="O132" s="19">
        <f t="shared" si="25"/>
        <v>10</v>
      </c>
      <c r="P132" s="20">
        <f t="shared" si="19"/>
        <v>0</v>
      </c>
      <c r="Q132" s="21"/>
      <c r="R132" s="21"/>
      <c r="S132" s="21"/>
      <c r="T132" s="21"/>
      <c r="U132" s="21"/>
      <c r="V132" s="21"/>
      <c r="W132" s="21"/>
      <c r="X132" s="21"/>
      <c r="Y132" s="21"/>
      <c r="Z132" s="21"/>
    </row>
    <row r="133" spans="1:26">
      <c r="A133" s="43">
        <v>126</v>
      </c>
      <c r="B133" s="44" t="str">
        <f t="shared" si="20"/>
        <v>11-й год 6-й мес</v>
      </c>
      <c r="C133" s="45">
        <f t="shared" si="26"/>
        <v>45026</v>
      </c>
      <c r="D133" s="46">
        <f t="shared" si="16"/>
        <v>0</v>
      </c>
      <c r="E133" s="47">
        <f t="shared" si="21"/>
        <v>0</v>
      </c>
      <c r="F133" s="47">
        <f t="shared" si="27"/>
        <v>0</v>
      </c>
      <c r="G133" s="48">
        <f t="shared" si="22"/>
        <v>0</v>
      </c>
      <c r="H133" s="49">
        <f t="shared" si="17"/>
        <v>0</v>
      </c>
      <c r="I133" s="47">
        <f t="shared" si="28"/>
        <v>0</v>
      </c>
      <c r="J133" s="47">
        <f t="shared" si="23"/>
        <v>0</v>
      </c>
      <c r="K133" s="50">
        <f t="shared" si="24"/>
        <v>0</v>
      </c>
      <c r="L133" s="63"/>
      <c r="M133" s="64"/>
      <c r="N133" s="51">
        <f t="shared" si="18"/>
        <v>7</v>
      </c>
      <c r="O133" s="19">
        <f t="shared" si="25"/>
        <v>10</v>
      </c>
      <c r="P133" s="20">
        <f t="shared" si="19"/>
        <v>0</v>
      </c>
      <c r="Q133" s="21"/>
      <c r="R133" s="21"/>
      <c r="S133" s="21"/>
      <c r="T133" s="21"/>
      <c r="U133" s="21"/>
      <c r="V133" s="21"/>
      <c r="W133" s="21"/>
      <c r="X133" s="21"/>
      <c r="Y133" s="21"/>
      <c r="Z133" s="21"/>
    </row>
    <row r="134" spans="1:26">
      <c r="A134" s="43">
        <v>127</v>
      </c>
      <c r="B134" s="44" t="str">
        <f t="shared" si="20"/>
        <v>11-й год 7-й мес</v>
      </c>
      <c r="C134" s="45">
        <f t="shared" si="26"/>
        <v>45056</v>
      </c>
      <c r="D134" s="46">
        <f t="shared" si="16"/>
        <v>0</v>
      </c>
      <c r="E134" s="47">
        <f t="shared" si="21"/>
        <v>0</v>
      </c>
      <c r="F134" s="47">
        <f t="shared" si="27"/>
        <v>0</v>
      </c>
      <c r="G134" s="48">
        <f t="shared" si="22"/>
        <v>0</v>
      </c>
      <c r="H134" s="49">
        <f t="shared" si="17"/>
        <v>0</v>
      </c>
      <c r="I134" s="47">
        <f t="shared" si="28"/>
        <v>0</v>
      </c>
      <c r="J134" s="47">
        <f t="shared" si="23"/>
        <v>0</v>
      </c>
      <c r="K134" s="50">
        <f t="shared" si="24"/>
        <v>0</v>
      </c>
      <c r="L134" s="63"/>
      <c r="M134" s="64"/>
      <c r="N134" s="51">
        <f t="shared" si="18"/>
        <v>7</v>
      </c>
      <c r="O134" s="19">
        <f t="shared" si="25"/>
        <v>10</v>
      </c>
      <c r="P134" s="20">
        <f t="shared" si="19"/>
        <v>0</v>
      </c>
      <c r="Q134" s="21"/>
      <c r="R134" s="21"/>
      <c r="S134" s="21"/>
      <c r="T134" s="21"/>
      <c r="U134" s="21"/>
      <c r="V134" s="21"/>
      <c r="W134" s="21"/>
      <c r="X134" s="21"/>
      <c r="Y134" s="21"/>
      <c r="Z134" s="21"/>
    </row>
    <row r="135" spans="1:26">
      <c r="A135" s="43">
        <v>128</v>
      </c>
      <c r="B135" s="44" t="str">
        <f t="shared" si="20"/>
        <v>11-й год 8-й мес</v>
      </c>
      <c r="C135" s="45">
        <f t="shared" si="26"/>
        <v>45087</v>
      </c>
      <c r="D135" s="46">
        <f t="shared" si="16"/>
        <v>0</v>
      </c>
      <c r="E135" s="47">
        <f t="shared" si="21"/>
        <v>0</v>
      </c>
      <c r="F135" s="47">
        <f t="shared" si="27"/>
        <v>0</v>
      </c>
      <c r="G135" s="48">
        <f t="shared" si="22"/>
        <v>0</v>
      </c>
      <c r="H135" s="49">
        <f t="shared" si="17"/>
        <v>0</v>
      </c>
      <c r="I135" s="47">
        <f t="shared" si="28"/>
        <v>0</v>
      </c>
      <c r="J135" s="47">
        <f t="shared" si="23"/>
        <v>0</v>
      </c>
      <c r="K135" s="50">
        <f t="shared" si="24"/>
        <v>0</v>
      </c>
      <c r="L135" s="63"/>
      <c r="M135" s="64"/>
      <c r="N135" s="51">
        <f t="shared" si="18"/>
        <v>7</v>
      </c>
      <c r="O135" s="19">
        <f t="shared" si="25"/>
        <v>10</v>
      </c>
      <c r="P135" s="20">
        <f t="shared" si="19"/>
        <v>0</v>
      </c>
      <c r="Q135" s="21"/>
      <c r="R135" s="21"/>
      <c r="S135" s="21"/>
      <c r="T135" s="21"/>
      <c r="U135" s="21"/>
      <c r="V135" s="21"/>
      <c r="W135" s="21"/>
      <c r="X135" s="21"/>
      <c r="Y135" s="21"/>
      <c r="Z135" s="21"/>
    </row>
    <row r="136" spans="1:26">
      <c r="A136" s="43">
        <v>129</v>
      </c>
      <c r="B136" s="44" t="str">
        <f t="shared" si="20"/>
        <v>11-й год 9-й мес</v>
      </c>
      <c r="C136" s="45">
        <f t="shared" si="26"/>
        <v>45117</v>
      </c>
      <c r="D136" s="46">
        <f t="shared" ref="D136:D199" si="29">IF(P136*$D$2/100/12/(1-(1+$D$2/100/12)^(-O136))&lt;G135,ROUNDUP(P136*$D$2/100/12/(1-(1+$D$2/100/12)^(-O136)),0),G135+F136)</f>
        <v>0</v>
      </c>
      <c r="E136" s="47">
        <f t="shared" si="21"/>
        <v>0</v>
      </c>
      <c r="F136" s="47">
        <f t="shared" si="27"/>
        <v>0</v>
      </c>
      <c r="G136" s="48">
        <f t="shared" si="22"/>
        <v>0</v>
      </c>
      <c r="H136" s="49">
        <f t="shared" ref="H136:H199" si="30">I136+J136</f>
        <v>0</v>
      </c>
      <c r="I136" s="47">
        <f t="shared" si="28"/>
        <v>0</v>
      </c>
      <c r="J136" s="47">
        <f t="shared" si="23"/>
        <v>0</v>
      </c>
      <c r="K136" s="50">
        <f t="shared" si="24"/>
        <v>0</v>
      </c>
      <c r="L136" s="63"/>
      <c r="M136" s="64"/>
      <c r="N136" s="51">
        <f t="shared" ref="N136:N199" si="31">IF(ISBLANK(L135),VALUE(N135),ROW(L135))</f>
        <v>7</v>
      </c>
      <c r="O136" s="19">
        <f t="shared" si="25"/>
        <v>10</v>
      </c>
      <c r="P136" s="20">
        <f t="shared" ref="P136:P199" si="32">INDEX(G:G,N136,1)</f>
        <v>0</v>
      </c>
      <c r="Q136" s="21"/>
      <c r="R136" s="21"/>
      <c r="S136" s="21"/>
      <c r="T136" s="21"/>
      <c r="U136" s="21"/>
      <c r="V136" s="21"/>
      <c r="W136" s="21"/>
      <c r="X136" s="21"/>
      <c r="Y136" s="21"/>
      <c r="Z136" s="21"/>
    </row>
    <row r="137" spans="1:26">
      <c r="A137" s="43">
        <v>130</v>
      </c>
      <c r="B137" s="44" t="str">
        <f t="shared" ref="B137:B200" si="33">CONCATENATE(INT((A137-1)/12)+1,"-й год ",A137-1-INT((A137-1)/12)*12+1,"-й мес")</f>
        <v>11-й год 10-й мес</v>
      </c>
      <c r="C137" s="45">
        <f t="shared" si="26"/>
        <v>45148</v>
      </c>
      <c r="D137" s="46">
        <f t="shared" si="29"/>
        <v>0</v>
      </c>
      <c r="E137" s="47">
        <f t="shared" ref="E137:E200" si="34">D137-F137</f>
        <v>0</v>
      </c>
      <c r="F137" s="47">
        <f t="shared" si="27"/>
        <v>0</v>
      </c>
      <c r="G137" s="48">
        <f t="shared" ref="G137:G200" si="35">G136-E137-L137-M137</f>
        <v>0</v>
      </c>
      <c r="H137" s="49">
        <f t="shared" si="30"/>
        <v>0</v>
      </c>
      <c r="I137" s="47">
        <f t="shared" si="28"/>
        <v>0</v>
      </c>
      <c r="J137" s="47">
        <f t="shared" ref="J137:J200" si="36">K136*$D$2/12/100</f>
        <v>0</v>
      </c>
      <c r="K137" s="50">
        <f t="shared" ref="K137:K200" si="37">K136-I137-L137-M137</f>
        <v>0</v>
      </c>
      <c r="L137" s="63"/>
      <c r="M137" s="64"/>
      <c r="N137" s="51">
        <f t="shared" si="31"/>
        <v>7</v>
      </c>
      <c r="O137" s="19">
        <f t="shared" ref="O137:O200" si="38">O136+N136-N137</f>
        <v>10</v>
      </c>
      <c r="P137" s="20">
        <f t="shared" si="32"/>
        <v>0</v>
      </c>
      <c r="Q137" s="21"/>
      <c r="R137" s="21"/>
      <c r="S137" s="21"/>
      <c r="T137" s="21"/>
      <c r="U137" s="21"/>
      <c r="V137" s="21"/>
      <c r="W137" s="21"/>
      <c r="X137" s="21"/>
      <c r="Y137" s="21"/>
      <c r="Z137" s="21"/>
    </row>
    <row r="138" spans="1:26">
      <c r="A138" s="43">
        <v>131</v>
      </c>
      <c r="B138" s="44" t="str">
        <f t="shared" si="33"/>
        <v>11-й год 11-й мес</v>
      </c>
      <c r="C138" s="45">
        <f t="shared" ref="C138:C201" si="39">DATE(YEAR(C137),MONTH(C137)+1,DAY(C137))</f>
        <v>45179</v>
      </c>
      <c r="D138" s="46">
        <f t="shared" si="29"/>
        <v>0</v>
      </c>
      <c r="E138" s="47">
        <f t="shared" si="34"/>
        <v>0</v>
      </c>
      <c r="F138" s="47">
        <f t="shared" ref="F138:F201" si="40">G137*$D$2*(C138-C137)/(DATE(YEAR(C138)+1,1,1)-DATE(YEAR(C138),1,1))/100</f>
        <v>0</v>
      </c>
      <c r="G138" s="48">
        <f t="shared" si="35"/>
        <v>0</v>
      </c>
      <c r="H138" s="49">
        <f t="shared" si="30"/>
        <v>0</v>
      </c>
      <c r="I138" s="47">
        <f t="shared" ref="I138:I201" si="41">IF($D$1/$D$3&lt;K137,$D$1/$D$3,K137)</f>
        <v>0</v>
      </c>
      <c r="J138" s="47">
        <f t="shared" si="36"/>
        <v>0</v>
      </c>
      <c r="K138" s="50">
        <f t="shared" si="37"/>
        <v>0</v>
      </c>
      <c r="L138" s="63"/>
      <c r="M138" s="64"/>
      <c r="N138" s="51">
        <f t="shared" si="31"/>
        <v>7</v>
      </c>
      <c r="O138" s="19">
        <f t="shared" si="38"/>
        <v>10</v>
      </c>
      <c r="P138" s="20">
        <f t="shared" si="32"/>
        <v>0</v>
      </c>
      <c r="Q138" s="21"/>
      <c r="R138" s="21"/>
      <c r="S138" s="21"/>
      <c r="T138" s="21"/>
      <c r="U138" s="21"/>
      <c r="V138" s="21"/>
      <c r="W138" s="21"/>
      <c r="X138" s="21"/>
      <c r="Y138" s="21"/>
      <c r="Z138" s="21"/>
    </row>
    <row r="139" spans="1:26">
      <c r="A139" s="43">
        <v>132</v>
      </c>
      <c r="B139" s="44" t="str">
        <f t="shared" si="33"/>
        <v>11-й год 12-й мес</v>
      </c>
      <c r="C139" s="45">
        <f t="shared" si="39"/>
        <v>45209</v>
      </c>
      <c r="D139" s="46">
        <f t="shared" si="29"/>
        <v>0</v>
      </c>
      <c r="E139" s="47">
        <f t="shared" si="34"/>
        <v>0</v>
      </c>
      <c r="F139" s="47">
        <f t="shared" si="40"/>
        <v>0</v>
      </c>
      <c r="G139" s="48">
        <f t="shared" si="35"/>
        <v>0</v>
      </c>
      <c r="H139" s="49">
        <f t="shared" si="30"/>
        <v>0</v>
      </c>
      <c r="I139" s="47">
        <f t="shared" si="41"/>
        <v>0</v>
      </c>
      <c r="J139" s="47">
        <f t="shared" si="36"/>
        <v>0</v>
      </c>
      <c r="K139" s="50">
        <f t="shared" si="37"/>
        <v>0</v>
      </c>
      <c r="L139" s="63"/>
      <c r="M139" s="64"/>
      <c r="N139" s="51">
        <f t="shared" si="31"/>
        <v>7</v>
      </c>
      <c r="O139" s="19">
        <f t="shared" si="38"/>
        <v>10</v>
      </c>
      <c r="P139" s="20">
        <f t="shared" si="32"/>
        <v>0</v>
      </c>
      <c r="Q139" s="21"/>
      <c r="R139" s="21"/>
      <c r="S139" s="21"/>
      <c r="T139" s="21"/>
      <c r="U139" s="21"/>
      <c r="V139" s="21"/>
      <c r="W139" s="21"/>
      <c r="X139" s="21"/>
      <c r="Y139" s="21"/>
      <c r="Z139" s="21"/>
    </row>
    <row r="140" spans="1:26">
      <c r="A140" s="52">
        <v>133</v>
      </c>
      <c r="B140" s="44" t="str">
        <f t="shared" si="33"/>
        <v>12-й год 1-й мес</v>
      </c>
      <c r="C140" s="45">
        <f t="shared" si="39"/>
        <v>45240</v>
      </c>
      <c r="D140" s="46">
        <f t="shared" si="29"/>
        <v>0</v>
      </c>
      <c r="E140" s="53">
        <f t="shared" si="34"/>
        <v>0</v>
      </c>
      <c r="F140" s="47">
        <f t="shared" si="40"/>
        <v>0</v>
      </c>
      <c r="G140" s="54">
        <f t="shared" si="35"/>
        <v>0</v>
      </c>
      <c r="H140" s="55">
        <f t="shared" si="30"/>
        <v>0</v>
      </c>
      <c r="I140" s="53">
        <f t="shared" si="41"/>
        <v>0</v>
      </c>
      <c r="J140" s="53">
        <f t="shared" si="36"/>
        <v>0</v>
      </c>
      <c r="K140" s="56">
        <f t="shared" si="37"/>
        <v>0</v>
      </c>
      <c r="L140" s="65"/>
      <c r="M140" s="64"/>
      <c r="N140" s="51">
        <f t="shared" si="31"/>
        <v>7</v>
      </c>
      <c r="O140" s="19">
        <f t="shared" si="38"/>
        <v>10</v>
      </c>
      <c r="P140" s="20">
        <f t="shared" si="32"/>
        <v>0</v>
      </c>
      <c r="Q140" s="21"/>
      <c r="R140" s="21"/>
      <c r="S140" s="21"/>
      <c r="T140" s="21"/>
      <c r="U140" s="21"/>
      <c r="V140" s="21"/>
      <c r="W140" s="21"/>
      <c r="X140" s="21"/>
      <c r="Y140" s="21"/>
      <c r="Z140" s="21"/>
    </row>
    <row r="141" spans="1:26">
      <c r="A141" s="57">
        <v>134</v>
      </c>
      <c r="B141" s="44" t="str">
        <f t="shared" si="33"/>
        <v>12-й год 2-й мес</v>
      </c>
      <c r="C141" s="45">
        <f t="shared" si="39"/>
        <v>45270</v>
      </c>
      <c r="D141" s="46">
        <f t="shared" si="29"/>
        <v>0</v>
      </c>
      <c r="E141" s="47">
        <f t="shared" si="34"/>
        <v>0</v>
      </c>
      <c r="F141" s="47">
        <f t="shared" si="40"/>
        <v>0</v>
      </c>
      <c r="G141" s="48">
        <f t="shared" si="35"/>
        <v>0</v>
      </c>
      <c r="H141" s="49">
        <f t="shared" si="30"/>
        <v>0</v>
      </c>
      <c r="I141" s="47">
        <f t="shared" si="41"/>
        <v>0</v>
      </c>
      <c r="J141" s="47">
        <f t="shared" si="36"/>
        <v>0</v>
      </c>
      <c r="K141" s="50">
        <f t="shared" si="37"/>
        <v>0</v>
      </c>
      <c r="L141" s="63"/>
      <c r="M141" s="67"/>
      <c r="N141" s="51">
        <f t="shared" si="31"/>
        <v>7</v>
      </c>
      <c r="O141" s="19">
        <f t="shared" si="38"/>
        <v>10</v>
      </c>
      <c r="P141" s="20">
        <f t="shared" si="32"/>
        <v>0</v>
      </c>
      <c r="Q141" s="21"/>
      <c r="R141" s="21"/>
      <c r="S141" s="21"/>
      <c r="T141" s="21"/>
      <c r="U141" s="21"/>
      <c r="V141" s="21"/>
      <c r="W141" s="21"/>
      <c r="X141" s="21"/>
      <c r="Y141" s="21"/>
      <c r="Z141" s="21"/>
    </row>
    <row r="142" spans="1:26">
      <c r="A142" s="57">
        <v>135</v>
      </c>
      <c r="B142" s="44" t="str">
        <f t="shared" si="33"/>
        <v>12-й год 3-й мес</v>
      </c>
      <c r="C142" s="45">
        <f t="shared" si="39"/>
        <v>45301</v>
      </c>
      <c r="D142" s="46">
        <f t="shared" si="29"/>
        <v>0</v>
      </c>
      <c r="E142" s="47">
        <f t="shared" si="34"/>
        <v>0</v>
      </c>
      <c r="F142" s="47">
        <f t="shared" si="40"/>
        <v>0</v>
      </c>
      <c r="G142" s="48">
        <f t="shared" si="35"/>
        <v>0</v>
      </c>
      <c r="H142" s="49">
        <f t="shared" si="30"/>
        <v>0</v>
      </c>
      <c r="I142" s="47">
        <f t="shared" si="41"/>
        <v>0</v>
      </c>
      <c r="J142" s="47">
        <f t="shared" si="36"/>
        <v>0</v>
      </c>
      <c r="K142" s="50">
        <f t="shared" si="37"/>
        <v>0</v>
      </c>
      <c r="L142" s="63"/>
      <c r="M142" s="67"/>
      <c r="N142" s="51">
        <f t="shared" si="31"/>
        <v>7</v>
      </c>
      <c r="O142" s="19">
        <f t="shared" si="38"/>
        <v>10</v>
      </c>
      <c r="P142" s="20">
        <f t="shared" si="32"/>
        <v>0</v>
      </c>
      <c r="Q142" s="21"/>
      <c r="R142" s="21"/>
      <c r="S142" s="21"/>
      <c r="T142" s="21"/>
      <c r="U142" s="21"/>
      <c r="V142" s="21"/>
      <c r="W142" s="21"/>
      <c r="X142" s="21"/>
      <c r="Y142" s="21"/>
      <c r="Z142" s="21"/>
    </row>
    <row r="143" spans="1:26">
      <c r="A143" s="57">
        <v>136</v>
      </c>
      <c r="B143" s="44" t="str">
        <f t="shared" si="33"/>
        <v>12-й год 4-й мес</v>
      </c>
      <c r="C143" s="45">
        <f t="shared" si="39"/>
        <v>45332</v>
      </c>
      <c r="D143" s="46">
        <f t="shared" si="29"/>
        <v>0</v>
      </c>
      <c r="E143" s="47">
        <f t="shared" si="34"/>
        <v>0</v>
      </c>
      <c r="F143" s="47">
        <f t="shared" si="40"/>
        <v>0</v>
      </c>
      <c r="G143" s="48">
        <f t="shared" si="35"/>
        <v>0</v>
      </c>
      <c r="H143" s="49">
        <f t="shared" si="30"/>
        <v>0</v>
      </c>
      <c r="I143" s="47">
        <f t="shared" si="41"/>
        <v>0</v>
      </c>
      <c r="J143" s="47">
        <f t="shared" si="36"/>
        <v>0</v>
      </c>
      <c r="K143" s="50">
        <f t="shared" si="37"/>
        <v>0</v>
      </c>
      <c r="L143" s="63"/>
      <c r="M143" s="67"/>
      <c r="N143" s="51">
        <f t="shared" si="31"/>
        <v>7</v>
      </c>
      <c r="O143" s="19">
        <f t="shared" si="38"/>
        <v>10</v>
      </c>
      <c r="P143" s="20">
        <f t="shared" si="32"/>
        <v>0</v>
      </c>
      <c r="Q143" s="21"/>
      <c r="R143" s="21"/>
      <c r="S143" s="21"/>
      <c r="T143" s="21"/>
      <c r="U143" s="21"/>
      <c r="V143" s="21"/>
      <c r="W143" s="21"/>
      <c r="X143" s="21"/>
      <c r="Y143" s="21"/>
      <c r="Z143" s="21"/>
    </row>
    <row r="144" spans="1:26">
      <c r="A144" s="57">
        <v>137</v>
      </c>
      <c r="B144" s="44" t="str">
        <f t="shared" si="33"/>
        <v>12-й год 5-й мес</v>
      </c>
      <c r="C144" s="45">
        <f t="shared" si="39"/>
        <v>45361</v>
      </c>
      <c r="D144" s="46">
        <f t="shared" si="29"/>
        <v>0</v>
      </c>
      <c r="E144" s="47">
        <f t="shared" si="34"/>
        <v>0</v>
      </c>
      <c r="F144" s="47">
        <f t="shared" si="40"/>
        <v>0</v>
      </c>
      <c r="G144" s="48">
        <f t="shared" si="35"/>
        <v>0</v>
      </c>
      <c r="H144" s="49">
        <f t="shared" si="30"/>
        <v>0</v>
      </c>
      <c r="I144" s="47">
        <f t="shared" si="41"/>
        <v>0</v>
      </c>
      <c r="J144" s="47">
        <f t="shared" si="36"/>
        <v>0</v>
      </c>
      <c r="K144" s="50">
        <f t="shared" si="37"/>
        <v>0</v>
      </c>
      <c r="L144" s="63"/>
      <c r="M144" s="67"/>
      <c r="N144" s="51">
        <f t="shared" si="31"/>
        <v>7</v>
      </c>
      <c r="O144" s="19">
        <f t="shared" si="38"/>
        <v>10</v>
      </c>
      <c r="P144" s="20">
        <f t="shared" si="32"/>
        <v>0</v>
      </c>
      <c r="Q144" s="21"/>
      <c r="R144" s="21"/>
      <c r="S144" s="21"/>
      <c r="T144" s="21"/>
      <c r="U144" s="21"/>
      <c r="V144" s="21"/>
      <c r="W144" s="21"/>
      <c r="X144" s="21"/>
      <c r="Y144" s="21"/>
      <c r="Z144" s="21"/>
    </row>
    <row r="145" spans="1:26">
      <c r="A145" s="57">
        <v>138</v>
      </c>
      <c r="B145" s="44" t="str">
        <f t="shared" si="33"/>
        <v>12-й год 6-й мес</v>
      </c>
      <c r="C145" s="45">
        <f t="shared" si="39"/>
        <v>45392</v>
      </c>
      <c r="D145" s="46">
        <f t="shared" si="29"/>
        <v>0</v>
      </c>
      <c r="E145" s="47">
        <f t="shared" si="34"/>
        <v>0</v>
      </c>
      <c r="F145" s="47">
        <f t="shared" si="40"/>
        <v>0</v>
      </c>
      <c r="G145" s="48">
        <f t="shared" si="35"/>
        <v>0</v>
      </c>
      <c r="H145" s="49">
        <f t="shared" si="30"/>
        <v>0</v>
      </c>
      <c r="I145" s="47">
        <f t="shared" si="41"/>
        <v>0</v>
      </c>
      <c r="J145" s="47">
        <f t="shared" si="36"/>
        <v>0</v>
      </c>
      <c r="K145" s="50">
        <f t="shared" si="37"/>
        <v>0</v>
      </c>
      <c r="L145" s="63"/>
      <c r="M145" s="67"/>
      <c r="N145" s="51">
        <f t="shared" si="31"/>
        <v>7</v>
      </c>
      <c r="O145" s="19">
        <f t="shared" si="38"/>
        <v>10</v>
      </c>
      <c r="P145" s="20">
        <f t="shared" si="32"/>
        <v>0</v>
      </c>
      <c r="Q145" s="21"/>
      <c r="R145" s="21"/>
      <c r="S145" s="21"/>
      <c r="T145" s="21"/>
      <c r="U145" s="21"/>
      <c r="V145" s="21"/>
      <c r="W145" s="21"/>
      <c r="X145" s="21"/>
      <c r="Y145" s="21"/>
      <c r="Z145" s="21"/>
    </row>
    <row r="146" spans="1:26">
      <c r="A146" s="57">
        <v>139</v>
      </c>
      <c r="B146" s="44" t="str">
        <f t="shared" si="33"/>
        <v>12-й год 7-й мес</v>
      </c>
      <c r="C146" s="45">
        <f t="shared" si="39"/>
        <v>45422</v>
      </c>
      <c r="D146" s="46">
        <f t="shared" si="29"/>
        <v>0</v>
      </c>
      <c r="E146" s="47">
        <f t="shared" si="34"/>
        <v>0</v>
      </c>
      <c r="F146" s="47">
        <f t="shared" si="40"/>
        <v>0</v>
      </c>
      <c r="G146" s="48">
        <f t="shared" si="35"/>
        <v>0</v>
      </c>
      <c r="H146" s="49">
        <f t="shared" si="30"/>
        <v>0</v>
      </c>
      <c r="I146" s="47">
        <f t="shared" si="41"/>
        <v>0</v>
      </c>
      <c r="J146" s="47">
        <f t="shared" si="36"/>
        <v>0</v>
      </c>
      <c r="K146" s="50">
        <f t="shared" si="37"/>
        <v>0</v>
      </c>
      <c r="L146" s="63"/>
      <c r="M146" s="67"/>
      <c r="N146" s="51">
        <f t="shared" si="31"/>
        <v>7</v>
      </c>
      <c r="O146" s="19">
        <f t="shared" si="38"/>
        <v>10</v>
      </c>
      <c r="P146" s="20">
        <f t="shared" si="32"/>
        <v>0</v>
      </c>
      <c r="Q146" s="21"/>
      <c r="R146" s="21"/>
      <c r="S146" s="21"/>
      <c r="T146" s="21"/>
      <c r="U146" s="21"/>
      <c r="V146" s="21"/>
      <c r="W146" s="21"/>
      <c r="X146" s="21"/>
      <c r="Y146" s="21"/>
      <c r="Z146" s="21"/>
    </row>
    <row r="147" spans="1:26">
      <c r="A147" s="57">
        <v>140</v>
      </c>
      <c r="B147" s="44" t="str">
        <f t="shared" si="33"/>
        <v>12-й год 8-й мес</v>
      </c>
      <c r="C147" s="45">
        <f t="shared" si="39"/>
        <v>45453</v>
      </c>
      <c r="D147" s="46">
        <f t="shared" si="29"/>
        <v>0</v>
      </c>
      <c r="E147" s="47">
        <f t="shared" si="34"/>
        <v>0</v>
      </c>
      <c r="F147" s="47">
        <f t="shared" si="40"/>
        <v>0</v>
      </c>
      <c r="G147" s="48">
        <f t="shared" si="35"/>
        <v>0</v>
      </c>
      <c r="H147" s="49">
        <f t="shared" si="30"/>
        <v>0</v>
      </c>
      <c r="I147" s="47">
        <f t="shared" si="41"/>
        <v>0</v>
      </c>
      <c r="J147" s="47">
        <f t="shared" si="36"/>
        <v>0</v>
      </c>
      <c r="K147" s="50">
        <f t="shared" si="37"/>
        <v>0</v>
      </c>
      <c r="L147" s="63"/>
      <c r="M147" s="67"/>
      <c r="N147" s="51">
        <f t="shared" si="31"/>
        <v>7</v>
      </c>
      <c r="O147" s="19">
        <f t="shared" si="38"/>
        <v>10</v>
      </c>
      <c r="P147" s="20">
        <f t="shared" si="32"/>
        <v>0</v>
      </c>
      <c r="Q147" s="21"/>
      <c r="R147" s="21"/>
      <c r="S147" s="21"/>
      <c r="T147" s="21"/>
      <c r="U147" s="21"/>
      <c r="V147" s="21"/>
      <c r="W147" s="21"/>
      <c r="X147" s="21"/>
      <c r="Y147" s="21"/>
      <c r="Z147" s="21"/>
    </row>
    <row r="148" spans="1:26">
      <c r="A148" s="57">
        <v>141</v>
      </c>
      <c r="B148" s="44" t="str">
        <f t="shared" si="33"/>
        <v>12-й год 9-й мес</v>
      </c>
      <c r="C148" s="45">
        <f t="shared" si="39"/>
        <v>45483</v>
      </c>
      <c r="D148" s="46">
        <f t="shared" si="29"/>
        <v>0</v>
      </c>
      <c r="E148" s="47">
        <f t="shared" si="34"/>
        <v>0</v>
      </c>
      <c r="F148" s="47">
        <f t="shared" si="40"/>
        <v>0</v>
      </c>
      <c r="G148" s="48">
        <f t="shared" si="35"/>
        <v>0</v>
      </c>
      <c r="H148" s="49">
        <f t="shared" si="30"/>
        <v>0</v>
      </c>
      <c r="I148" s="47">
        <f t="shared" si="41"/>
        <v>0</v>
      </c>
      <c r="J148" s="47">
        <f t="shared" si="36"/>
        <v>0</v>
      </c>
      <c r="K148" s="50">
        <f t="shared" si="37"/>
        <v>0</v>
      </c>
      <c r="L148" s="63"/>
      <c r="M148" s="67"/>
      <c r="N148" s="51">
        <f t="shared" si="31"/>
        <v>7</v>
      </c>
      <c r="O148" s="19">
        <f t="shared" si="38"/>
        <v>10</v>
      </c>
      <c r="P148" s="20">
        <f t="shared" si="32"/>
        <v>0</v>
      </c>
      <c r="Q148" s="21"/>
      <c r="R148" s="21"/>
      <c r="S148" s="21"/>
      <c r="T148" s="21"/>
      <c r="U148" s="21"/>
      <c r="V148" s="21"/>
      <c r="W148" s="21"/>
      <c r="X148" s="21"/>
      <c r="Y148" s="21"/>
      <c r="Z148" s="21"/>
    </row>
    <row r="149" spans="1:26">
      <c r="A149" s="57">
        <v>142</v>
      </c>
      <c r="B149" s="44" t="str">
        <f t="shared" si="33"/>
        <v>12-й год 10-й мес</v>
      </c>
      <c r="C149" s="45">
        <f t="shared" si="39"/>
        <v>45514</v>
      </c>
      <c r="D149" s="46">
        <f t="shared" si="29"/>
        <v>0</v>
      </c>
      <c r="E149" s="47">
        <f t="shared" si="34"/>
        <v>0</v>
      </c>
      <c r="F149" s="47">
        <f t="shared" si="40"/>
        <v>0</v>
      </c>
      <c r="G149" s="48">
        <f t="shared" si="35"/>
        <v>0</v>
      </c>
      <c r="H149" s="49">
        <f t="shared" si="30"/>
        <v>0</v>
      </c>
      <c r="I149" s="47">
        <f t="shared" si="41"/>
        <v>0</v>
      </c>
      <c r="J149" s="47">
        <f t="shared" si="36"/>
        <v>0</v>
      </c>
      <c r="K149" s="50">
        <f t="shared" si="37"/>
        <v>0</v>
      </c>
      <c r="L149" s="63"/>
      <c r="M149" s="67"/>
      <c r="N149" s="51">
        <f t="shared" si="31"/>
        <v>7</v>
      </c>
      <c r="O149" s="19">
        <f t="shared" si="38"/>
        <v>10</v>
      </c>
      <c r="P149" s="20">
        <f t="shared" si="32"/>
        <v>0</v>
      </c>
      <c r="Q149" s="21"/>
      <c r="R149" s="21"/>
      <c r="S149" s="21"/>
      <c r="T149" s="21"/>
      <c r="U149" s="21"/>
      <c r="V149" s="21"/>
      <c r="W149" s="21"/>
      <c r="X149" s="21"/>
      <c r="Y149" s="21"/>
      <c r="Z149" s="21"/>
    </row>
    <row r="150" spans="1:26">
      <c r="A150" s="57">
        <v>143</v>
      </c>
      <c r="B150" s="44" t="str">
        <f t="shared" si="33"/>
        <v>12-й год 11-й мес</v>
      </c>
      <c r="C150" s="45">
        <f t="shared" si="39"/>
        <v>45545</v>
      </c>
      <c r="D150" s="46">
        <f t="shared" si="29"/>
        <v>0</v>
      </c>
      <c r="E150" s="47">
        <f t="shared" si="34"/>
        <v>0</v>
      </c>
      <c r="F150" s="47">
        <f t="shared" si="40"/>
        <v>0</v>
      </c>
      <c r="G150" s="48">
        <f t="shared" si="35"/>
        <v>0</v>
      </c>
      <c r="H150" s="49">
        <f t="shared" si="30"/>
        <v>0</v>
      </c>
      <c r="I150" s="47">
        <f t="shared" si="41"/>
        <v>0</v>
      </c>
      <c r="J150" s="47">
        <f t="shared" si="36"/>
        <v>0</v>
      </c>
      <c r="K150" s="50">
        <f t="shared" si="37"/>
        <v>0</v>
      </c>
      <c r="L150" s="63"/>
      <c r="M150" s="67"/>
      <c r="N150" s="51">
        <f t="shared" si="31"/>
        <v>7</v>
      </c>
      <c r="O150" s="19">
        <f t="shared" si="38"/>
        <v>10</v>
      </c>
      <c r="P150" s="20">
        <f t="shared" si="32"/>
        <v>0</v>
      </c>
      <c r="Q150" s="21"/>
      <c r="R150" s="21"/>
      <c r="S150" s="21"/>
      <c r="T150" s="21"/>
      <c r="U150" s="21"/>
      <c r="V150" s="21"/>
      <c r="W150" s="21"/>
      <c r="X150" s="21"/>
      <c r="Y150" s="21"/>
      <c r="Z150" s="21"/>
    </row>
    <row r="151" spans="1:26">
      <c r="A151" s="58">
        <v>144</v>
      </c>
      <c r="B151" s="44" t="str">
        <f t="shared" si="33"/>
        <v>12-й год 12-й мес</v>
      </c>
      <c r="C151" s="45">
        <f t="shared" si="39"/>
        <v>45575</v>
      </c>
      <c r="D151" s="46">
        <f t="shared" si="29"/>
        <v>0</v>
      </c>
      <c r="E151" s="59">
        <f t="shared" si="34"/>
        <v>0</v>
      </c>
      <c r="F151" s="47">
        <f t="shared" si="40"/>
        <v>0</v>
      </c>
      <c r="G151" s="60">
        <f t="shared" si="35"/>
        <v>0</v>
      </c>
      <c r="H151" s="61">
        <f t="shared" si="30"/>
        <v>0</v>
      </c>
      <c r="I151" s="59">
        <f t="shared" si="41"/>
        <v>0</v>
      </c>
      <c r="J151" s="59">
        <f t="shared" si="36"/>
        <v>0</v>
      </c>
      <c r="K151" s="62">
        <f t="shared" si="37"/>
        <v>0</v>
      </c>
      <c r="L151" s="66"/>
      <c r="M151" s="68"/>
      <c r="N151" s="51">
        <f t="shared" si="31"/>
        <v>7</v>
      </c>
      <c r="O151" s="19">
        <f t="shared" si="38"/>
        <v>10</v>
      </c>
      <c r="P151" s="20">
        <f t="shared" si="32"/>
        <v>0</v>
      </c>
      <c r="Q151" s="21"/>
      <c r="R151" s="21"/>
      <c r="S151" s="21"/>
      <c r="T151" s="21"/>
      <c r="U151" s="21"/>
      <c r="V151" s="21"/>
      <c r="W151" s="21"/>
      <c r="X151" s="21"/>
      <c r="Y151" s="21"/>
      <c r="Z151" s="21"/>
    </row>
    <row r="152" spans="1:26">
      <c r="A152" s="43">
        <v>145</v>
      </c>
      <c r="B152" s="44" t="str">
        <f t="shared" si="33"/>
        <v>13-й год 1-й мес</v>
      </c>
      <c r="C152" s="45">
        <f t="shared" si="39"/>
        <v>45606</v>
      </c>
      <c r="D152" s="46">
        <f t="shared" si="29"/>
        <v>0</v>
      </c>
      <c r="E152" s="47">
        <f t="shared" si="34"/>
        <v>0</v>
      </c>
      <c r="F152" s="47">
        <f t="shared" si="40"/>
        <v>0</v>
      </c>
      <c r="G152" s="48">
        <f t="shared" si="35"/>
        <v>0</v>
      </c>
      <c r="H152" s="49">
        <f t="shared" si="30"/>
        <v>0</v>
      </c>
      <c r="I152" s="47">
        <f t="shared" si="41"/>
        <v>0</v>
      </c>
      <c r="J152" s="47">
        <f t="shared" si="36"/>
        <v>0</v>
      </c>
      <c r="K152" s="50">
        <f t="shared" si="37"/>
        <v>0</v>
      </c>
      <c r="L152" s="63"/>
      <c r="M152" s="67"/>
      <c r="N152" s="51">
        <f t="shared" si="31"/>
        <v>7</v>
      </c>
      <c r="O152" s="19">
        <f t="shared" si="38"/>
        <v>10</v>
      </c>
      <c r="P152" s="20">
        <f t="shared" si="32"/>
        <v>0</v>
      </c>
      <c r="Q152" s="21"/>
      <c r="R152" s="21"/>
      <c r="S152" s="21"/>
      <c r="T152" s="21"/>
      <c r="U152" s="21"/>
      <c r="V152" s="21"/>
      <c r="W152" s="21"/>
      <c r="X152" s="21"/>
      <c r="Y152" s="21"/>
      <c r="Z152" s="21"/>
    </row>
    <row r="153" spans="1:26">
      <c r="A153" s="43">
        <v>146</v>
      </c>
      <c r="B153" s="44" t="str">
        <f t="shared" si="33"/>
        <v>13-й год 2-й мес</v>
      </c>
      <c r="C153" s="45">
        <f t="shared" si="39"/>
        <v>45636</v>
      </c>
      <c r="D153" s="46">
        <f t="shared" si="29"/>
        <v>0</v>
      </c>
      <c r="E153" s="47">
        <f t="shared" si="34"/>
        <v>0</v>
      </c>
      <c r="F153" s="47">
        <f t="shared" si="40"/>
        <v>0</v>
      </c>
      <c r="G153" s="48">
        <f t="shared" si="35"/>
        <v>0</v>
      </c>
      <c r="H153" s="49">
        <f t="shared" si="30"/>
        <v>0</v>
      </c>
      <c r="I153" s="47">
        <f t="shared" si="41"/>
        <v>0</v>
      </c>
      <c r="J153" s="47">
        <f t="shared" si="36"/>
        <v>0</v>
      </c>
      <c r="K153" s="50">
        <f t="shared" si="37"/>
        <v>0</v>
      </c>
      <c r="L153" s="63"/>
      <c r="M153" s="67"/>
      <c r="N153" s="51">
        <f t="shared" si="31"/>
        <v>7</v>
      </c>
      <c r="O153" s="19">
        <f t="shared" si="38"/>
        <v>10</v>
      </c>
      <c r="P153" s="20">
        <f t="shared" si="32"/>
        <v>0</v>
      </c>
      <c r="Q153" s="21"/>
      <c r="R153" s="21"/>
      <c r="S153" s="21"/>
      <c r="T153" s="21"/>
      <c r="U153" s="21"/>
      <c r="V153" s="21"/>
      <c r="W153" s="21"/>
      <c r="X153" s="21"/>
      <c r="Y153" s="21"/>
      <c r="Z153" s="21"/>
    </row>
    <row r="154" spans="1:26">
      <c r="A154" s="43">
        <v>147</v>
      </c>
      <c r="B154" s="44" t="str">
        <f t="shared" si="33"/>
        <v>13-й год 3-й мес</v>
      </c>
      <c r="C154" s="45">
        <f t="shared" si="39"/>
        <v>45667</v>
      </c>
      <c r="D154" s="46">
        <f t="shared" si="29"/>
        <v>0</v>
      </c>
      <c r="E154" s="47">
        <f t="shared" si="34"/>
        <v>0</v>
      </c>
      <c r="F154" s="47">
        <f t="shared" si="40"/>
        <v>0</v>
      </c>
      <c r="G154" s="48">
        <f t="shared" si="35"/>
        <v>0</v>
      </c>
      <c r="H154" s="49">
        <f t="shared" si="30"/>
        <v>0</v>
      </c>
      <c r="I154" s="47">
        <f t="shared" si="41"/>
        <v>0</v>
      </c>
      <c r="J154" s="47">
        <f t="shared" si="36"/>
        <v>0</v>
      </c>
      <c r="K154" s="50">
        <f t="shared" si="37"/>
        <v>0</v>
      </c>
      <c r="L154" s="63"/>
      <c r="M154" s="67"/>
      <c r="N154" s="51">
        <f t="shared" si="31"/>
        <v>7</v>
      </c>
      <c r="O154" s="19">
        <f t="shared" si="38"/>
        <v>10</v>
      </c>
      <c r="P154" s="20">
        <f t="shared" si="32"/>
        <v>0</v>
      </c>
      <c r="Q154" s="21"/>
      <c r="R154" s="21"/>
      <c r="S154" s="21"/>
      <c r="T154" s="21"/>
      <c r="U154" s="21"/>
      <c r="V154" s="21"/>
      <c r="W154" s="21"/>
      <c r="X154" s="21"/>
      <c r="Y154" s="21"/>
      <c r="Z154" s="21"/>
    </row>
    <row r="155" spans="1:26">
      <c r="A155" s="43">
        <v>148</v>
      </c>
      <c r="B155" s="44" t="str">
        <f t="shared" si="33"/>
        <v>13-й год 4-й мес</v>
      </c>
      <c r="C155" s="45">
        <f t="shared" si="39"/>
        <v>45698</v>
      </c>
      <c r="D155" s="46">
        <f t="shared" si="29"/>
        <v>0</v>
      </c>
      <c r="E155" s="47">
        <f t="shared" si="34"/>
        <v>0</v>
      </c>
      <c r="F155" s="47">
        <f t="shared" si="40"/>
        <v>0</v>
      </c>
      <c r="G155" s="48">
        <f t="shared" si="35"/>
        <v>0</v>
      </c>
      <c r="H155" s="49">
        <f t="shared" si="30"/>
        <v>0</v>
      </c>
      <c r="I155" s="47">
        <f t="shared" si="41"/>
        <v>0</v>
      </c>
      <c r="J155" s="47">
        <f t="shared" si="36"/>
        <v>0</v>
      </c>
      <c r="K155" s="50">
        <f t="shared" si="37"/>
        <v>0</v>
      </c>
      <c r="L155" s="63"/>
      <c r="M155" s="67"/>
      <c r="N155" s="51">
        <f t="shared" si="31"/>
        <v>7</v>
      </c>
      <c r="O155" s="19">
        <f t="shared" si="38"/>
        <v>10</v>
      </c>
      <c r="P155" s="20">
        <f t="shared" si="32"/>
        <v>0</v>
      </c>
      <c r="Q155" s="21"/>
      <c r="R155" s="21"/>
      <c r="S155" s="21"/>
      <c r="T155" s="21"/>
      <c r="U155" s="21"/>
      <c r="V155" s="21"/>
      <c r="W155" s="21"/>
      <c r="X155" s="21"/>
      <c r="Y155" s="21"/>
      <c r="Z155" s="21"/>
    </row>
    <row r="156" spans="1:26">
      <c r="A156" s="43">
        <v>149</v>
      </c>
      <c r="B156" s="44" t="str">
        <f t="shared" si="33"/>
        <v>13-й год 5-й мес</v>
      </c>
      <c r="C156" s="45">
        <f t="shared" si="39"/>
        <v>45726</v>
      </c>
      <c r="D156" s="46">
        <f t="shared" si="29"/>
        <v>0</v>
      </c>
      <c r="E156" s="47">
        <f t="shared" si="34"/>
        <v>0</v>
      </c>
      <c r="F156" s="47">
        <f t="shared" si="40"/>
        <v>0</v>
      </c>
      <c r="G156" s="48">
        <f t="shared" si="35"/>
        <v>0</v>
      </c>
      <c r="H156" s="49">
        <f t="shared" si="30"/>
        <v>0</v>
      </c>
      <c r="I156" s="47">
        <f t="shared" si="41"/>
        <v>0</v>
      </c>
      <c r="J156" s="47">
        <f t="shared" si="36"/>
        <v>0</v>
      </c>
      <c r="K156" s="50">
        <f t="shared" si="37"/>
        <v>0</v>
      </c>
      <c r="L156" s="63"/>
      <c r="M156" s="67"/>
      <c r="N156" s="51">
        <f t="shared" si="31"/>
        <v>7</v>
      </c>
      <c r="O156" s="19">
        <f t="shared" si="38"/>
        <v>10</v>
      </c>
      <c r="P156" s="20">
        <f t="shared" si="32"/>
        <v>0</v>
      </c>
      <c r="Q156" s="21"/>
      <c r="R156" s="21"/>
      <c r="S156" s="21"/>
      <c r="T156" s="21"/>
      <c r="U156" s="21"/>
      <c r="V156" s="21"/>
      <c r="W156" s="21"/>
      <c r="X156" s="21"/>
      <c r="Y156" s="21"/>
      <c r="Z156" s="21"/>
    </row>
    <row r="157" spans="1:26">
      <c r="A157" s="43">
        <v>150</v>
      </c>
      <c r="B157" s="44" t="str">
        <f t="shared" si="33"/>
        <v>13-й год 6-й мес</v>
      </c>
      <c r="C157" s="45">
        <f t="shared" si="39"/>
        <v>45757</v>
      </c>
      <c r="D157" s="46">
        <f t="shared" si="29"/>
        <v>0</v>
      </c>
      <c r="E157" s="47">
        <f t="shared" si="34"/>
        <v>0</v>
      </c>
      <c r="F157" s="47">
        <f t="shared" si="40"/>
        <v>0</v>
      </c>
      <c r="G157" s="48">
        <f t="shared" si="35"/>
        <v>0</v>
      </c>
      <c r="H157" s="49">
        <f t="shared" si="30"/>
        <v>0</v>
      </c>
      <c r="I157" s="47">
        <f t="shared" si="41"/>
        <v>0</v>
      </c>
      <c r="J157" s="47">
        <f t="shared" si="36"/>
        <v>0</v>
      </c>
      <c r="K157" s="50">
        <f t="shared" si="37"/>
        <v>0</v>
      </c>
      <c r="L157" s="63"/>
      <c r="M157" s="67"/>
      <c r="N157" s="51">
        <f t="shared" si="31"/>
        <v>7</v>
      </c>
      <c r="O157" s="19">
        <f t="shared" si="38"/>
        <v>10</v>
      </c>
      <c r="P157" s="20">
        <f t="shared" si="32"/>
        <v>0</v>
      </c>
      <c r="Q157" s="21"/>
      <c r="R157" s="21"/>
      <c r="S157" s="21"/>
      <c r="T157" s="21"/>
      <c r="U157" s="21"/>
      <c r="V157" s="21"/>
      <c r="W157" s="21"/>
      <c r="X157" s="21"/>
      <c r="Y157" s="21"/>
      <c r="Z157" s="21"/>
    </row>
    <row r="158" spans="1:26">
      <c r="A158" s="43">
        <v>151</v>
      </c>
      <c r="B158" s="44" t="str">
        <f t="shared" si="33"/>
        <v>13-й год 7-й мес</v>
      </c>
      <c r="C158" s="45">
        <f t="shared" si="39"/>
        <v>45787</v>
      </c>
      <c r="D158" s="46">
        <f t="shared" si="29"/>
        <v>0</v>
      </c>
      <c r="E158" s="47">
        <f t="shared" si="34"/>
        <v>0</v>
      </c>
      <c r="F158" s="47">
        <f t="shared" si="40"/>
        <v>0</v>
      </c>
      <c r="G158" s="48">
        <f t="shared" si="35"/>
        <v>0</v>
      </c>
      <c r="H158" s="49">
        <f t="shared" si="30"/>
        <v>0</v>
      </c>
      <c r="I158" s="47">
        <f t="shared" si="41"/>
        <v>0</v>
      </c>
      <c r="J158" s="47">
        <f t="shared" si="36"/>
        <v>0</v>
      </c>
      <c r="K158" s="50">
        <f t="shared" si="37"/>
        <v>0</v>
      </c>
      <c r="L158" s="63"/>
      <c r="M158" s="67"/>
      <c r="N158" s="51">
        <f t="shared" si="31"/>
        <v>7</v>
      </c>
      <c r="O158" s="19">
        <f t="shared" si="38"/>
        <v>10</v>
      </c>
      <c r="P158" s="20">
        <f t="shared" si="32"/>
        <v>0</v>
      </c>
      <c r="Q158" s="21"/>
      <c r="R158" s="21"/>
      <c r="S158" s="21"/>
      <c r="T158" s="21"/>
      <c r="U158" s="21"/>
      <c r="V158" s="21"/>
      <c r="W158" s="21"/>
      <c r="X158" s="21"/>
      <c r="Y158" s="21"/>
      <c r="Z158" s="21"/>
    </row>
    <row r="159" spans="1:26">
      <c r="A159" s="43">
        <v>152</v>
      </c>
      <c r="B159" s="44" t="str">
        <f t="shared" si="33"/>
        <v>13-й год 8-й мес</v>
      </c>
      <c r="C159" s="45">
        <f t="shared" si="39"/>
        <v>45818</v>
      </c>
      <c r="D159" s="46">
        <f t="shared" si="29"/>
        <v>0</v>
      </c>
      <c r="E159" s="47">
        <f t="shared" si="34"/>
        <v>0</v>
      </c>
      <c r="F159" s="47">
        <f t="shared" si="40"/>
        <v>0</v>
      </c>
      <c r="G159" s="48">
        <f t="shared" si="35"/>
        <v>0</v>
      </c>
      <c r="H159" s="49">
        <f t="shared" si="30"/>
        <v>0</v>
      </c>
      <c r="I159" s="47">
        <f t="shared" si="41"/>
        <v>0</v>
      </c>
      <c r="J159" s="47">
        <f t="shared" si="36"/>
        <v>0</v>
      </c>
      <c r="K159" s="50">
        <f t="shared" si="37"/>
        <v>0</v>
      </c>
      <c r="L159" s="63"/>
      <c r="M159" s="67"/>
      <c r="N159" s="51">
        <f t="shared" si="31"/>
        <v>7</v>
      </c>
      <c r="O159" s="19">
        <f t="shared" si="38"/>
        <v>10</v>
      </c>
      <c r="P159" s="20">
        <f t="shared" si="32"/>
        <v>0</v>
      </c>
      <c r="Q159" s="21"/>
      <c r="R159" s="21"/>
      <c r="S159" s="21"/>
      <c r="T159" s="21"/>
      <c r="U159" s="21"/>
      <c r="V159" s="21"/>
      <c r="W159" s="21"/>
      <c r="X159" s="21"/>
      <c r="Y159" s="21"/>
      <c r="Z159" s="21"/>
    </row>
    <row r="160" spans="1:26">
      <c r="A160" s="43">
        <v>153</v>
      </c>
      <c r="B160" s="44" t="str">
        <f t="shared" si="33"/>
        <v>13-й год 9-й мес</v>
      </c>
      <c r="C160" s="45">
        <f t="shared" si="39"/>
        <v>45848</v>
      </c>
      <c r="D160" s="46">
        <f t="shared" si="29"/>
        <v>0</v>
      </c>
      <c r="E160" s="47">
        <f t="shared" si="34"/>
        <v>0</v>
      </c>
      <c r="F160" s="47">
        <f t="shared" si="40"/>
        <v>0</v>
      </c>
      <c r="G160" s="48">
        <f t="shared" si="35"/>
        <v>0</v>
      </c>
      <c r="H160" s="49">
        <f t="shared" si="30"/>
        <v>0</v>
      </c>
      <c r="I160" s="47">
        <f t="shared" si="41"/>
        <v>0</v>
      </c>
      <c r="J160" s="47">
        <f t="shared" si="36"/>
        <v>0</v>
      </c>
      <c r="K160" s="50">
        <f t="shared" si="37"/>
        <v>0</v>
      </c>
      <c r="L160" s="63"/>
      <c r="M160" s="67"/>
      <c r="N160" s="51">
        <f t="shared" si="31"/>
        <v>7</v>
      </c>
      <c r="O160" s="19">
        <f t="shared" si="38"/>
        <v>10</v>
      </c>
      <c r="P160" s="20">
        <f t="shared" si="32"/>
        <v>0</v>
      </c>
      <c r="Q160" s="21"/>
      <c r="R160" s="21"/>
      <c r="S160" s="21"/>
      <c r="T160" s="21"/>
      <c r="U160" s="21"/>
      <c r="V160" s="21"/>
      <c r="W160" s="21"/>
      <c r="X160" s="21"/>
      <c r="Y160" s="21"/>
      <c r="Z160" s="21"/>
    </row>
    <row r="161" spans="1:26">
      <c r="A161" s="43">
        <v>154</v>
      </c>
      <c r="B161" s="44" t="str">
        <f t="shared" si="33"/>
        <v>13-й год 10-й мес</v>
      </c>
      <c r="C161" s="45">
        <f t="shared" si="39"/>
        <v>45879</v>
      </c>
      <c r="D161" s="46">
        <f t="shared" si="29"/>
        <v>0</v>
      </c>
      <c r="E161" s="47">
        <f t="shared" si="34"/>
        <v>0</v>
      </c>
      <c r="F161" s="47">
        <f t="shared" si="40"/>
        <v>0</v>
      </c>
      <c r="G161" s="48">
        <f t="shared" si="35"/>
        <v>0</v>
      </c>
      <c r="H161" s="49">
        <f t="shared" si="30"/>
        <v>0</v>
      </c>
      <c r="I161" s="47">
        <f t="shared" si="41"/>
        <v>0</v>
      </c>
      <c r="J161" s="47">
        <f t="shared" si="36"/>
        <v>0</v>
      </c>
      <c r="K161" s="50">
        <f t="shared" si="37"/>
        <v>0</v>
      </c>
      <c r="L161" s="63"/>
      <c r="M161" s="67"/>
      <c r="N161" s="51">
        <f t="shared" si="31"/>
        <v>7</v>
      </c>
      <c r="O161" s="19">
        <f t="shared" si="38"/>
        <v>10</v>
      </c>
      <c r="P161" s="20">
        <f t="shared" si="32"/>
        <v>0</v>
      </c>
      <c r="Q161" s="21"/>
      <c r="R161" s="21"/>
      <c r="S161" s="21"/>
      <c r="T161" s="21"/>
      <c r="U161" s="21"/>
      <c r="V161" s="21"/>
      <c r="W161" s="21"/>
      <c r="X161" s="21"/>
      <c r="Y161" s="21"/>
      <c r="Z161" s="21"/>
    </row>
    <row r="162" spans="1:26">
      <c r="A162" s="43">
        <v>155</v>
      </c>
      <c r="B162" s="44" t="str">
        <f t="shared" si="33"/>
        <v>13-й год 11-й мес</v>
      </c>
      <c r="C162" s="45">
        <f t="shared" si="39"/>
        <v>45910</v>
      </c>
      <c r="D162" s="46">
        <f t="shared" si="29"/>
        <v>0</v>
      </c>
      <c r="E162" s="47">
        <f t="shared" si="34"/>
        <v>0</v>
      </c>
      <c r="F162" s="47">
        <f t="shared" si="40"/>
        <v>0</v>
      </c>
      <c r="G162" s="48">
        <f t="shared" si="35"/>
        <v>0</v>
      </c>
      <c r="H162" s="49">
        <f t="shared" si="30"/>
        <v>0</v>
      </c>
      <c r="I162" s="47">
        <f t="shared" si="41"/>
        <v>0</v>
      </c>
      <c r="J162" s="47">
        <f t="shared" si="36"/>
        <v>0</v>
      </c>
      <c r="K162" s="50">
        <f t="shared" si="37"/>
        <v>0</v>
      </c>
      <c r="L162" s="63"/>
      <c r="M162" s="67"/>
      <c r="N162" s="51">
        <f t="shared" si="31"/>
        <v>7</v>
      </c>
      <c r="O162" s="19">
        <f t="shared" si="38"/>
        <v>10</v>
      </c>
      <c r="P162" s="20">
        <f t="shared" si="32"/>
        <v>0</v>
      </c>
      <c r="Q162" s="21"/>
      <c r="R162" s="21"/>
      <c r="S162" s="21"/>
      <c r="T162" s="21"/>
      <c r="U162" s="21"/>
      <c r="V162" s="21"/>
      <c r="W162" s="21"/>
      <c r="X162" s="21"/>
      <c r="Y162" s="21"/>
      <c r="Z162" s="21"/>
    </row>
    <row r="163" spans="1:26">
      <c r="A163" s="43">
        <v>156</v>
      </c>
      <c r="B163" s="44" t="str">
        <f t="shared" si="33"/>
        <v>13-й год 12-й мес</v>
      </c>
      <c r="C163" s="45">
        <f t="shared" si="39"/>
        <v>45940</v>
      </c>
      <c r="D163" s="46">
        <f t="shared" si="29"/>
        <v>0</v>
      </c>
      <c r="E163" s="47">
        <f t="shared" si="34"/>
        <v>0</v>
      </c>
      <c r="F163" s="47">
        <f t="shared" si="40"/>
        <v>0</v>
      </c>
      <c r="G163" s="48">
        <f t="shared" si="35"/>
        <v>0</v>
      </c>
      <c r="H163" s="49">
        <f t="shared" si="30"/>
        <v>0</v>
      </c>
      <c r="I163" s="47">
        <f t="shared" si="41"/>
        <v>0</v>
      </c>
      <c r="J163" s="47">
        <f t="shared" si="36"/>
        <v>0</v>
      </c>
      <c r="K163" s="50">
        <f t="shared" si="37"/>
        <v>0</v>
      </c>
      <c r="L163" s="63"/>
      <c r="M163" s="67"/>
      <c r="N163" s="51">
        <f t="shared" si="31"/>
        <v>7</v>
      </c>
      <c r="O163" s="19">
        <f t="shared" si="38"/>
        <v>10</v>
      </c>
      <c r="P163" s="20">
        <f t="shared" si="32"/>
        <v>0</v>
      </c>
      <c r="Q163" s="21"/>
      <c r="R163" s="21"/>
      <c r="S163" s="21"/>
      <c r="T163" s="21"/>
      <c r="U163" s="21"/>
      <c r="V163" s="21"/>
      <c r="W163" s="21"/>
      <c r="X163" s="21"/>
      <c r="Y163" s="21"/>
      <c r="Z163" s="21"/>
    </row>
    <row r="164" spans="1:26">
      <c r="A164" s="52">
        <v>157</v>
      </c>
      <c r="B164" s="44" t="str">
        <f t="shared" si="33"/>
        <v>14-й год 1-й мес</v>
      </c>
      <c r="C164" s="45">
        <f t="shared" si="39"/>
        <v>45971</v>
      </c>
      <c r="D164" s="46">
        <f t="shared" si="29"/>
        <v>0</v>
      </c>
      <c r="E164" s="53">
        <f t="shared" si="34"/>
        <v>0</v>
      </c>
      <c r="F164" s="47">
        <f t="shared" si="40"/>
        <v>0</v>
      </c>
      <c r="G164" s="54">
        <f t="shared" si="35"/>
        <v>0</v>
      </c>
      <c r="H164" s="55">
        <f t="shared" si="30"/>
        <v>0</v>
      </c>
      <c r="I164" s="53">
        <f t="shared" si="41"/>
        <v>0</v>
      </c>
      <c r="J164" s="53">
        <f t="shared" si="36"/>
        <v>0</v>
      </c>
      <c r="K164" s="56">
        <f t="shared" si="37"/>
        <v>0</v>
      </c>
      <c r="L164" s="65"/>
      <c r="M164" s="64"/>
      <c r="N164" s="51">
        <f t="shared" si="31"/>
        <v>7</v>
      </c>
      <c r="O164" s="19">
        <f t="shared" si="38"/>
        <v>10</v>
      </c>
      <c r="P164" s="20">
        <f t="shared" si="32"/>
        <v>0</v>
      </c>
      <c r="Q164" s="21"/>
      <c r="R164" s="21"/>
      <c r="S164" s="21"/>
      <c r="T164" s="21"/>
      <c r="U164" s="21"/>
      <c r="V164" s="21"/>
      <c r="W164" s="21"/>
      <c r="X164" s="21"/>
      <c r="Y164" s="21"/>
      <c r="Z164" s="21"/>
    </row>
    <row r="165" spans="1:26">
      <c r="A165" s="57">
        <v>158</v>
      </c>
      <c r="B165" s="44" t="str">
        <f t="shared" si="33"/>
        <v>14-й год 2-й мес</v>
      </c>
      <c r="C165" s="45">
        <f t="shared" si="39"/>
        <v>46001</v>
      </c>
      <c r="D165" s="46">
        <f t="shared" si="29"/>
        <v>0</v>
      </c>
      <c r="E165" s="47">
        <f t="shared" si="34"/>
        <v>0</v>
      </c>
      <c r="F165" s="47">
        <f t="shared" si="40"/>
        <v>0</v>
      </c>
      <c r="G165" s="48">
        <f t="shared" si="35"/>
        <v>0</v>
      </c>
      <c r="H165" s="49">
        <f t="shared" si="30"/>
        <v>0</v>
      </c>
      <c r="I165" s="47">
        <f t="shared" si="41"/>
        <v>0</v>
      </c>
      <c r="J165" s="47">
        <f t="shared" si="36"/>
        <v>0</v>
      </c>
      <c r="K165" s="50">
        <f t="shared" si="37"/>
        <v>0</v>
      </c>
      <c r="L165" s="63"/>
      <c r="M165" s="67"/>
      <c r="N165" s="51">
        <f t="shared" si="31"/>
        <v>7</v>
      </c>
      <c r="O165" s="19">
        <f t="shared" si="38"/>
        <v>10</v>
      </c>
      <c r="P165" s="20">
        <f t="shared" si="32"/>
        <v>0</v>
      </c>
      <c r="Q165" s="21"/>
      <c r="R165" s="21"/>
      <c r="S165" s="21"/>
      <c r="T165" s="21"/>
      <c r="U165" s="21"/>
      <c r="V165" s="21"/>
      <c r="W165" s="21"/>
      <c r="X165" s="21"/>
      <c r="Y165" s="21"/>
      <c r="Z165" s="21"/>
    </row>
    <row r="166" spans="1:26">
      <c r="A166" s="57">
        <v>159</v>
      </c>
      <c r="B166" s="44" t="str">
        <f t="shared" si="33"/>
        <v>14-й год 3-й мес</v>
      </c>
      <c r="C166" s="45">
        <f t="shared" si="39"/>
        <v>46032</v>
      </c>
      <c r="D166" s="46">
        <f t="shared" si="29"/>
        <v>0</v>
      </c>
      <c r="E166" s="47">
        <f t="shared" si="34"/>
        <v>0</v>
      </c>
      <c r="F166" s="47">
        <f t="shared" si="40"/>
        <v>0</v>
      </c>
      <c r="G166" s="48">
        <f t="shared" si="35"/>
        <v>0</v>
      </c>
      <c r="H166" s="49">
        <f t="shared" si="30"/>
        <v>0</v>
      </c>
      <c r="I166" s="47">
        <f t="shared" si="41"/>
        <v>0</v>
      </c>
      <c r="J166" s="47">
        <f t="shared" si="36"/>
        <v>0</v>
      </c>
      <c r="K166" s="50">
        <f t="shared" si="37"/>
        <v>0</v>
      </c>
      <c r="L166" s="63"/>
      <c r="M166" s="67"/>
      <c r="N166" s="51">
        <f t="shared" si="31"/>
        <v>7</v>
      </c>
      <c r="O166" s="19">
        <f t="shared" si="38"/>
        <v>10</v>
      </c>
      <c r="P166" s="20">
        <f t="shared" si="32"/>
        <v>0</v>
      </c>
      <c r="Q166" s="21"/>
      <c r="R166" s="21"/>
      <c r="S166" s="21"/>
      <c r="T166" s="21"/>
      <c r="U166" s="21"/>
      <c r="V166" s="21"/>
      <c r="W166" s="21"/>
      <c r="X166" s="21"/>
      <c r="Y166" s="21"/>
      <c r="Z166" s="21"/>
    </row>
    <row r="167" spans="1:26">
      <c r="A167" s="57">
        <v>160</v>
      </c>
      <c r="B167" s="44" t="str">
        <f t="shared" si="33"/>
        <v>14-й год 4-й мес</v>
      </c>
      <c r="C167" s="45">
        <f t="shared" si="39"/>
        <v>46063</v>
      </c>
      <c r="D167" s="46">
        <f t="shared" si="29"/>
        <v>0</v>
      </c>
      <c r="E167" s="47">
        <f t="shared" si="34"/>
        <v>0</v>
      </c>
      <c r="F167" s="47">
        <f t="shared" si="40"/>
        <v>0</v>
      </c>
      <c r="G167" s="48">
        <f t="shared" si="35"/>
        <v>0</v>
      </c>
      <c r="H167" s="49">
        <f t="shared" si="30"/>
        <v>0</v>
      </c>
      <c r="I167" s="47">
        <f t="shared" si="41"/>
        <v>0</v>
      </c>
      <c r="J167" s="47">
        <f t="shared" si="36"/>
        <v>0</v>
      </c>
      <c r="K167" s="50">
        <f t="shared" si="37"/>
        <v>0</v>
      </c>
      <c r="L167" s="63"/>
      <c r="M167" s="67"/>
      <c r="N167" s="51">
        <f t="shared" si="31"/>
        <v>7</v>
      </c>
      <c r="O167" s="19">
        <f t="shared" si="38"/>
        <v>10</v>
      </c>
      <c r="P167" s="20">
        <f t="shared" si="32"/>
        <v>0</v>
      </c>
      <c r="Q167" s="21"/>
      <c r="R167" s="21"/>
      <c r="S167" s="21"/>
      <c r="T167" s="21"/>
      <c r="U167" s="21"/>
      <c r="V167" s="21"/>
      <c r="W167" s="21"/>
      <c r="X167" s="21"/>
      <c r="Y167" s="21"/>
      <c r="Z167" s="21"/>
    </row>
    <row r="168" spans="1:26">
      <c r="A168" s="57">
        <v>161</v>
      </c>
      <c r="B168" s="44" t="str">
        <f t="shared" si="33"/>
        <v>14-й год 5-й мес</v>
      </c>
      <c r="C168" s="45">
        <f t="shared" si="39"/>
        <v>46091</v>
      </c>
      <c r="D168" s="46">
        <f t="shared" si="29"/>
        <v>0</v>
      </c>
      <c r="E168" s="47">
        <f t="shared" si="34"/>
        <v>0</v>
      </c>
      <c r="F168" s="47">
        <f t="shared" si="40"/>
        <v>0</v>
      </c>
      <c r="G168" s="48">
        <f t="shared" si="35"/>
        <v>0</v>
      </c>
      <c r="H168" s="49">
        <f t="shared" si="30"/>
        <v>0</v>
      </c>
      <c r="I168" s="47">
        <f t="shared" si="41"/>
        <v>0</v>
      </c>
      <c r="J168" s="47">
        <f t="shared" si="36"/>
        <v>0</v>
      </c>
      <c r="K168" s="50">
        <f t="shared" si="37"/>
        <v>0</v>
      </c>
      <c r="L168" s="63"/>
      <c r="M168" s="67"/>
      <c r="N168" s="51">
        <f t="shared" si="31"/>
        <v>7</v>
      </c>
      <c r="O168" s="19">
        <f t="shared" si="38"/>
        <v>10</v>
      </c>
      <c r="P168" s="20">
        <f t="shared" si="32"/>
        <v>0</v>
      </c>
      <c r="Q168" s="21"/>
      <c r="R168" s="21"/>
      <c r="S168" s="21"/>
      <c r="T168" s="21"/>
      <c r="U168" s="21"/>
      <c r="V168" s="21"/>
      <c r="W168" s="21"/>
      <c r="X168" s="21"/>
      <c r="Y168" s="21"/>
      <c r="Z168" s="21"/>
    </row>
    <row r="169" spans="1:26">
      <c r="A169" s="57">
        <v>162</v>
      </c>
      <c r="B169" s="44" t="str">
        <f t="shared" si="33"/>
        <v>14-й год 6-й мес</v>
      </c>
      <c r="C169" s="45">
        <f t="shared" si="39"/>
        <v>46122</v>
      </c>
      <c r="D169" s="46">
        <f t="shared" si="29"/>
        <v>0</v>
      </c>
      <c r="E169" s="47">
        <f t="shared" si="34"/>
        <v>0</v>
      </c>
      <c r="F169" s="47">
        <f t="shared" si="40"/>
        <v>0</v>
      </c>
      <c r="G169" s="48">
        <f t="shared" si="35"/>
        <v>0</v>
      </c>
      <c r="H169" s="49">
        <f t="shared" si="30"/>
        <v>0</v>
      </c>
      <c r="I169" s="47">
        <f t="shared" si="41"/>
        <v>0</v>
      </c>
      <c r="J169" s="47">
        <f t="shared" si="36"/>
        <v>0</v>
      </c>
      <c r="K169" s="50">
        <f t="shared" si="37"/>
        <v>0</v>
      </c>
      <c r="L169" s="63"/>
      <c r="M169" s="67"/>
      <c r="N169" s="51">
        <f t="shared" si="31"/>
        <v>7</v>
      </c>
      <c r="O169" s="19">
        <f t="shared" si="38"/>
        <v>10</v>
      </c>
      <c r="P169" s="20">
        <f t="shared" si="32"/>
        <v>0</v>
      </c>
      <c r="Q169" s="21"/>
      <c r="R169" s="21"/>
      <c r="S169" s="21"/>
      <c r="T169" s="21"/>
      <c r="U169" s="21"/>
      <c r="V169" s="21"/>
      <c r="W169" s="21"/>
      <c r="X169" s="21"/>
      <c r="Y169" s="21"/>
      <c r="Z169" s="21"/>
    </row>
    <row r="170" spans="1:26">
      <c r="A170" s="57">
        <v>163</v>
      </c>
      <c r="B170" s="44" t="str">
        <f t="shared" si="33"/>
        <v>14-й год 7-й мес</v>
      </c>
      <c r="C170" s="45">
        <f t="shared" si="39"/>
        <v>46152</v>
      </c>
      <c r="D170" s="46">
        <f t="shared" si="29"/>
        <v>0</v>
      </c>
      <c r="E170" s="47">
        <f t="shared" si="34"/>
        <v>0</v>
      </c>
      <c r="F170" s="47">
        <f t="shared" si="40"/>
        <v>0</v>
      </c>
      <c r="G170" s="48">
        <f t="shared" si="35"/>
        <v>0</v>
      </c>
      <c r="H170" s="49">
        <f t="shared" si="30"/>
        <v>0</v>
      </c>
      <c r="I170" s="47">
        <f t="shared" si="41"/>
        <v>0</v>
      </c>
      <c r="J170" s="47">
        <f t="shared" si="36"/>
        <v>0</v>
      </c>
      <c r="K170" s="50">
        <f t="shared" si="37"/>
        <v>0</v>
      </c>
      <c r="L170" s="63"/>
      <c r="M170" s="67"/>
      <c r="N170" s="51">
        <f t="shared" si="31"/>
        <v>7</v>
      </c>
      <c r="O170" s="19">
        <f t="shared" si="38"/>
        <v>10</v>
      </c>
      <c r="P170" s="20">
        <f t="shared" si="32"/>
        <v>0</v>
      </c>
      <c r="Q170" s="21"/>
      <c r="R170" s="21"/>
      <c r="S170" s="21"/>
      <c r="T170" s="21"/>
      <c r="U170" s="21"/>
      <c r="V170" s="21"/>
      <c r="W170" s="21"/>
      <c r="X170" s="21"/>
      <c r="Y170" s="21"/>
      <c r="Z170" s="21"/>
    </row>
    <row r="171" spans="1:26">
      <c r="A171" s="57">
        <v>164</v>
      </c>
      <c r="B171" s="44" t="str">
        <f t="shared" si="33"/>
        <v>14-й год 8-й мес</v>
      </c>
      <c r="C171" s="45">
        <f t="shared" si="39"/>
        <v>46183</v>
      </c>
      <c r="D171" s="46">
        <f t="shared" si="29"/>
        <v>0</v>
      </c>
      <c r="E171" s="47">
        <f t="shared" si="34"/>
        <v>0</v>
      </c>
      <c r="F171" s="47">
        <f t="shared" si="40"/>
        <v>0</v>
      </c>
      <c r="G171" s="48">
        <f t="shared" si="35"/>
        <v>0</v>
      </c>
      <c r="H171" s="49">
        <f t="shared" si="30"/>
        <v>0</v>
      </c>
      <c r="I171" s="47">
        <f t="shared" si="41"/>
        <v>0</v>
      </c>
      <c r="J171" s="47">
        <f t="shared" si="36"/>
        <v>0</v>
      </c>
      <c r="K171" s="50">
        <f t="shared" si="37"/>
        <v>0</v>
      </c>
      <c r="L171" s="63"/>
      <c r="M171" s="67"/>
      <c r="N171" s="51">
        <f t="shared" si="31"/>
        <v>7</v>
      </c>
      <c r="O171" s="19">
        <f t="shared" si="38"/>
        <v>10</v>
      </c>
      <c r="P171" s="20">
        <f t="shared" si="32"/>
        <v>0</v>
      </c>
      <c r="Q171" s="21"/>
      <c r="R171" s="21"/>
      <c r="S171" s="21"/>
      <c r="T171" s="21"/>
      <c r="U171" s="21"/>
      <c r="V171" s="21"/>
      <c r="W171" s="21"/>
      <c r="X171" s="21"/>
      <c r="Y171" s="21"/>
      <c r="Z171" s="21"/>
    </row>
    <row r="172" spans="1:26">
      <c r="A172" s="57">
        <v>165</v>
      </c>
      <c r="B172" s="44" t="str">
        <f t="shared" si="33"/>
        <v>14-й год 9-й мес</v>
      </c>
      <c r="C172" s="45">
        <f t="shared" si="39"/>
        <v>46213</v>
      </c>
      <c r="D172" s="46">
        <f t="shared" si="29"/>
        <v>0</v>
      </c>
      <c r="E172" s="47">
        <f t="shared" si="34"/>
        <v>0</v>
      </c>
      <c r="F172" s="47">
        <f t="shared" si="40"/>
        <v>0</v>
      </c>
      <c r="G172" s="48">
        <f t="shared" si="35"/>
        <v>0</v>
      </c>
      <c r="H172" s="49">
        <f t="shared" si="30"/>
        <v>0</v>
      </c>
      <c r="I172" s="47">
        <f t="shared" si="41"/>
        <v>0</v>
      </c>
      <c r="J172" s="47">
        <f t="shared" si="36"/>
        <v>0</v>
      </c>
      <c r="K172" s="50">
        <f t="shared" si="37"/>
        <v>0</v>
      </c>
      <c r="L172" s="63"/>
      <c r="M172" s="67"/>
      <c r="N172" s="51">
        <f t="shared" si="31"/>
        <v>7</v>
      </c>
      <c r="O172" s="19">
        <f t="shared" si="38"/>
        <v>10</v>
      </c>
      <c r="P172" s="20">
        <f t="shared" si="32"/>
        <v>0</v>
      </c>
      <c r="Q172" s="21"/>
      <c r="R172" s="21"/>
      <c r="S172" s="21"/>
      <c r="T172" s="21"/>
      <c r="U172" s="21"/>
      <c r="V172" s="21"/>
      <c r="W172" s="21"/>
      <c r="X172" s="21"/>
      <c r="Y172" s="21"/>
      <c r="Z172" s="21"/>
    </row>
    <row r="173" spans="1:26">
      <c r="A173" s="57">
        <v>166</v>
      </c>
      <c r="B173" s="44" t="str">
        <f t="shared" si="33"/>
        <v>14-й год 10-й мес</v>
      </c>
      <c r="C173" s="45">
        <f t="shared" si="39"/>
        <v>46244</v>
      </c>
      <c r="D173" s="46">
        <f t="shared" si="29"/>
        <v>0</v>
      </c>
      <c r="E173" s="47">
        <f t="shared" si="34"/>
        <v>0</v>
      </c>
      <c r="F173" s="47">
        <f t="shared" si="40"/>
        <v>0</v>
      </c>
      <c r="G173" s="48">
        <f t="shared" si="35"/>
        <v>0</v>
      </c>
      <c r="H173" s="49">
        <f t="shared" si="30"/>
        <v>0</v>
      </c>
      <c r="I173" s="47">
        <f t="shared" si="41"/>
        <v>0</v>
      </c>
      <c r="J173" s="47">
        <f t="shared" si="36"/>
        <v>0</v>
      </c>
      <c r="K173" s="50">
        <f t="shared" si="37"/>
        <v>0</v>
      </c>
      <c r="L173" s="63"/>
      <c r="M173" s="67"/>
      <c r="N173" s="51">
        <f t="shared" si="31"/>
        <v>7</v>
      </c>
      <c r="O173" s="19">
        <f t="shared" si="38"/>
        <v>10</v>
      </c>
      <c r="P173" s="20">
        <f t="shared" si="32"/>
        <v>0</v>
      </c>
      <c r="Q173" s="21"/>
      <c r="R173" s="21"/>
      <c r="S173" s="21"/>
      <c r="T173" s="21"/>
      <c r="U173" s="21"/>
      <c r="V173" s="21"/>
      <c r="W173" s="21"/>
      <c r="X173" s="21"/>
      <c r="Y173" s="21"/>
      <c r="Z173" s="21"/>
    </row>
    <row r="174" spans="1:26">
      <c r="A174" s="57">
        <v>167</v>
      </c>
      <c r="B174" s="44" t="str">
        <f t="shared" si="33"/>
        <v>14-й год 11-й мес</v>
      </c>
      <c r="C174" s="45">
        <f t="shared" si="39"/>
        <v>46275</v>
      </c>
      <c r="D174" s="46">
        <f t="shared" si="29"/>
        <v>0</v>
      </c>
      <c r="E174" s="47">
        <f t="shared" si="34"/>
        <v>0</v>
      </c>
      <c r="F174" s="47">
        <f t="shared" si="40"/>
        <v>0</v>
      </c>
      <c r="G174" s="48">
        <f t="shared" si="35"/>
        <v>0</v>
      </c>
      <c r="H174" s="49">
        <f t="shared" si="30"/>
        <v>0</v>
      </c>
      <c r="I174" s="47">
        <f t="shared" si="41"/>
        <v>0</v>
      </c>
      <c r="J174" s="47">
        <f t="shared" si="36"/>
        <v>0</v>
      </c>
      <c r="K174" s="50">
        <f t="shared" si="37"/>
        <v>0</v>
      </c>
      <c r="L174" s="63"/>
      <c r="M174" s="67"/>
      <c r="N174" s="51">
        <f t="shared" si="31"/>
        <v>7</v>
      </c>
      <c r="O174" s="19">
        <f t="shared" si="38"/>
        <v>10</v>
      </c>
      <c r="P174" s="20">
        <f t="shared" si="32"/>
        <v>0</v>
      </c>
      <c r="Q174" s="21"/>
      <c r="R174" s="21"/>
      <c r="S174" s="21"/>
      <c r="T174" s="21"/>
      <c r="U174" s="21"/>
      <c r="V174" s="21"/>
      <c r="W174" s="21"/>
      <c r="X174" s="21"/>
      <c r="Y174" s="21"/>
      <c r="Z174" s="21"/>
    </row>
    <row r="175" spans="1:26">
      <c r="A175" s="58">
        <v>168</v>
      </c>
      <c r="B175" s="44" t="str">
        <f t="shared" si="33"/>
        <v>14-й год 12-й мес</v>
      </c>
      <c r="C175" s="45">
        <f t="shared" si="39"/>
        <v>46305</v>
      </c>
      <c r="D175" s="46">
        <f t="shared" si="29"/>
        <v>0</v>
      </c>
      <c r="E175" s="59">
        <f t="shared" si="34"/>
        <v>0</v>
      </c>
      <c r="F175" s="47">
        <f t="shared" si="40"/>
        <v>0</v>
      </c>
      <c r="G175" s="60">
        <f t="shared" si="35"/>
        <v>0</v>
      </c>
      <c r="H175" s="61">
        <f t="shared" si="30"/>
        <v>0</v>
      </c>
      <c r="I175" s="59">
        <f t="shared" si="41"/>
        <v>0</v>
      </c>
      <c r="J175" s="59">
        <f t="shared" si="36"/>
        <v>0</v>
      </c>
      <c r="K175" s="62">
        <f t="shared" si="37"/>
        <v>0</v>
      </c>
      <c r="L175" s="66"/>
      <c r="M175" s="68"/>
      <c r="N175" s="51">
        <f t="shared" si="31"/>
        <v>7</v>
      </c>
      <c r="O175" s="19">
        <f t="shared" si="38"/>
        <v>10</v>
      </c>
      <c r="P175" s="20">
        <f t="shared" si="32"/>
        <v>0</v>
      </c>
      <c r="Q175" s="21"/>
      <c r="R175" s="21"/>
      <c r="S175" s="21"/>
      <c r="T175" s="21"/>
      <c r="U175" s="21"/>
      <c r="V175" s="21"/>
      <c r="W175" s="21"/>
      <c r="X175" s="21"/>
      <c r="Y175" s="21"/>
      <c r="Z175" s="21"/>
    </row>
    <row r="176" spans="1:26">
      <c r="A176" s="43">
        <v>169</v>
      </c>
      <c r="B176" s="44" t="str">
        <f t="shared" si="33"/>
        <v>15-й год 1-й мес</v>
      </c>
      <c r="C176" s="45">
        <f t="shared" si="39"/>
        <v>46336</v>
      </c>
      <c r="D176" s="46">
        <f t="shared" si="29"/>
        <v>0</v>
      </c>
      <c r="E176" s="47">
        <f t="shared" si="34"/>
        <v>0</v>
      </c>
      <c r="F176" s="47">
        <f t="shared" si="40"/>
        <v>0</v>
      </c>
      <c r="G176" s="48">
        <f t="shared" si="35"/>
        <v>0</v>
      </c>
      <c r="H176" s="49">
        <f t="shared" si="30"/>
        <v>0</v>
      </c>
      <c r="I176" s="47">
        <f t="shared" si="41"/>
        <v>0</v>
      </c>
      <c r="J176" s="47">
        <f t="shared" si="36"/>
        <v>0</v>
      </c>
      <c r="K176" s="50">
        <f t="shared" si="37"/>
        <v>0</v>
      </c>
      <c r="L176" s="63"/>
      <c r="M176" s="67"/>
      <c r="N176" s="51">
        <f t="shared" si="31"/>
        <v>7</v>
      </c>
      <c r="O176" s="19">
        <f t="shared" si="38"/>
        <v>10</v>
      </c>
      <c r="P176" s="20">
        <f t="shared" si="32"/>
        <v>0</v>
      </c>
      <c r="Q176" s="21"/>
      <c r="R176" s="21"/>
      <c r="S176" s="21"/>
      <c r="T176" s="21"/>
      <c r="U176" s="21"/>
      <c r="V176" s="21"/>
      <c r="W176" s="21"/>
      <c r="X176" s="21"/>
      <c r="Y176" s="21"/>
      <c r="Z176" s="21"/>
    </row>
    <row r="177" spans="1:26">
      <c r="A177" s="43">
        <v>170</v>
      </c>
      <c r="B177" s="44" t="str">
        <f t="shared" si="33"/>
        <v>15-й год 2-й мес</v>
      </c>
      <c r="C177" s="45">
        <f t="shared" si="39"/>
        <v>46366</v>
      </c>
      <c r="D177" s="46">
        <f t="shared" si="29"/>
        <v>0</v>
      </c>
      <c r="E177" s="47">
        <f t="shared" si="34"/>
        <v>0</v>
      </c>
      <c r="F177" s="47">
        <f t="shared" si="40"/>
        <v>0</v>
      </c>
      <c r="G177" s="48">
        <f t="shared" si="35"/>
        <v>0</v>
      </c>
      <c r="H177" s="49">
        <f t="shared" si="30"/>
        <v>0</v>
      </c>
      <c r="I177" s="47">
        <f t="shared" si="41"/>
        <v>0</v>
      </c>
      <c r="J177" s="47">
        <f t="shared" si="36"/>
        <v>0</v>
      </c>
      <c r="K177" s="50">
        <f t="shared" si="37"/>
        <v>0</v>
      </c>
      <c r="L177" s="63"/>
      <c r="M177" s="67"/>
      <c r="N177" s="51">
        <f t="shared" si="31"/>
        <v>7</v>
      </c>
      <c r="O177" s="19">
        <f t="shared" si="38"/>
        <v>10</v>
      </c>
      <c r="P177" s="20">
        <f t="shared" si="32"/>
        <v>0</v>
      </c>
      <c r="Q177" s="21"/>
      <c r="R177" s="21"/>
      <c r="S177" s="21"/>
      <c r="T177" s="21"/>
      <c r="U177" s="21"/>
      <c r="V177" s="21"/>
      <c r="W177" s="21"/>
      <c r="X177" s="21"/>
      <c r="Y177" s="21"/>
      <c r="Z177" s="21"/>
    </row>
    <row r="178" spans="1:26">
      <c r="A178" s="43">
        <v>171</v>
      </c>
      <c r="B178" s="44" t="str">
        <f t="shared" si="33"/>
        <v>15-й год 3-й мес</v>
      </c>
      <c r="C178" s="45">
        <f t="shared" si="39"/>
        <v>46397</v>
      </c>
      <c r="D178" s="46">
        <f t="shared" si="29"/>
        <v>0</v>
      </c>
      <c r="E178" s="47">
        <f t="shared" si="34"/>
        <v>0</v>
      </c>
      <c r="F178" s="47">
        <f t="shared" si="40"/>
        <v>0</v>
      </c>
      <c r="G178" s="48">
        <f t="shared" si="35"/>
        <v>0</v>
      </c>
      <c r="H178" s="49">
        <f t="shared" si="30"/>
        <v>0</v>
      </c>
      <c r="I178" s="47">
        <f t="shared" si="41"/>
        <v>0</v>
      </c>
      <c r="J178" s="47">
        <f t="shared" si="36"/>
        <v>0</v>
      </c>
      <c r="K178" s="50">
        <f t="shared" si="37"/>
        <v>0</v>
      </c>
      <c r="L178" s="63"/>
      <c r="M178" s="67"/>
      <c r="N178" s="51">
        <f t="shared" si="31"/>
        <v>7</v>
      </c>
      <c r="O178" s="19">
        <f t="shared" si="38"/>
        <v>10</v>
      </c>
      <c r="P178" s="20">
        <f t="shared" si="32"/>
        <v>0</v>
      </c>
      <c r="Q178" s="21"/>
      <c r="R178" s="21"/>
      <c r="S178" s="21"/>
      <c r="T178" s="21"/>
      <c r="U178" s="21"/>
      <c r="V178" s="21"/>
      <c r="W178" s="21"/>
      <c r="X178" s="21"/>
      <c r="Y178" s="21"/>
      <c r="Z178" s="21"/>
    </row>
    <row r="179" spans="1:26">
      <c r="A179" s="43">
        <v>172</v>
      </c>
      <c r="B179" s="44" t="str">
        <f t="shared" si="33"/>
        <v>15-й год 4-й мес</v>
      </c>
      <c r="C179" s="45">
        <f t="shared" si="39"/>
        <v>46428</v>
      </c>
      <c r="D179" s="46">
        <f t="shared" si="29"/>
        <v>0</v>
      </c>
      <c r="E179" s="47">
        <f t="shared" si="34"/>
        <v>0</v>
      </c>
      <c r="F179" s="47">
        <f t="shared" si="40"/>
        <v>0</v>
      </c>
      <c r="G179" s="48">
        <f t="shared" si="35"/>
        <v>0</v>
      </c>
      <c r="H179" s="49">
        <f t="shared" si="30"/>
        <v>0</v>
      </c>
      <c r="I179" s="47">
        <f t="shared" si="41"/>
        <v>0</v>
      </c>
      <c r="J179" s="47">
        <f t="shared" si="36"/>
        <v>0</v>
      </c>
      <c r="K179" s="50">
        <f t="shared" si="37"/>
        <v>0</v>
      </c>
      <c r="L179" s="63"/>
      <c r="M179" s="67"/>
      <c r="N179" s="51">
        <f t="shared" si="31"/>
        <v>7</v>
      </c>
      <c r="O179" s="19">
        <f t="shared" si="38"/>
        <v>10</v>
      </c>
      <c r="P179" s="20">
        <f t="shared" si="32"/>
        <v>0</v>
      </c>
      <c r="Q179" s="21"/>
      <c r="R179" s="21"/>
      <c r="S179" s="21"/>
      <c r="T179" s="21"/>
      <c r="U179" s="21"/>
      <c r="V179" s="21"/>
      <c r="W179" s="21"/>
      <c r="X179" s="21"/>
      <c r="Y179" s="21"/>
      <c r="Z179" s="21"/>
    </row>
    <row r="180" spans="1:26">
      <c r="A180" s="43">
        <v>173</v>
      </c>
      <c r="B180" s="44" t="str">
        <f t="shared" si="33"/>
        <v>15-й год 5-й мес</v>
      </c>
      <c r="C180" s="45">
        <f t="shared" si="39"/>
        <v>46456</v>
      </c>
      <c r="D180" s="46">
        <f t="shared" si="29"/>
        <v>0</v>
      </c>
      <c r="E180" s="47">
        <f t="shared" si="34"/>
        <v>0</v>
      </c>
      <c r="F180" s="47">
        <f t="shared" si="40"/>
        <v>0</v>
      </c>
      <c r="G180" s="48">
        <f t="shared" si="35"/>
        <v>0</v>
      </c>
      <c r="H180" s="49">
        <f t="shared" si="30"/>
        <v>0</v>
      </c>
      <c r="I180" s="47">
        <f t="shared" si="41"/>
        <v>0</v>
      </c>
      <c r="J180" s="47">
        <f t="shared" si="36"/>
        <v>0</v>
      </c>
      <c r="K180" s="50">
        <f t="shared" si="37"/>
        <v>0</v>
      </c>
      <c r="L180" s="63"/>
      <c r="M180" s="67"/>
      <c r="N180" s="51">
        <f t="shared" si="31"/>
        <v>7</v>
      </c>
      <c r="O180" s="19">
        <f t="shared" si="38"/>
        <v>10</v>
      </c>
      <c r="P180" s="20">
        <f t="shared" si="32"/>
        <v>0</v>
      </c>
      <c r="Q180" s="21"/>
      <c r="R180" s="21"/>
      <c r="S180" s="21"/>
      <c r="T180" s="21"/>
      <c r="U180" s="21"/>
      <c r="V180" s="21"/>
      <c r="W180" s="21"/>
      <c r="X180" s="21"/>
      <c r="Y180" s="21"/>
      <c r="Z180" s="21"/>
    </row>
    <row r="181" spans="1:26">
      <c r="A181" s="43">
        <v>174</v>
      </c>
      <c r="B181" s="44" t="str">
        <f t="shared" si="33"/>
        <v>15-й год 6-й мес</v>
      </c>
      <c r="C181" s="45">
        <f t="shared" si="39"/>
        <v>46487</v>
      </c>
      <c r="D181" s="46">
        <f t="shared" si="29"/>
        <v>0</v>
      </c>
      <c r="E181" s="47">
        <f t="shared" si="34"/>
        <v>0</v>
      </c>
      <c r="F181" s="47">
        <f t="shared" si="40"/>
        <v>0</v>
      </c>
      <c r="G181" s="48">
        <f t="shared" si="35"/>
        <v>0</v>
      </c>
      <c r="H181" s="49">
        <f t="shared" si="30"/>
        <v>0</v>
      </c>
      <c r="I181" s="47">
        <f t="shared" si="41"/>
        <v>0</v>
      </c>
      <c r="J181" s="47">
        <f t="shared" si="36"/>
        <v>0</v>
      </c>
      <c r="K181" s="50">
        <f t="shared" si="37"/>
        <v>0</v>
      </c>
      <c r="L181" s="63"/>
      <c r="M181" s="67"/>
      <c r="N181" s="51">
        <f t="shared" si="31"/>
        <v>7</v>
      </c>
      <c r="O181" s="19">
        <f t="shared" si="38"/>
        <v>10</v>
      </c>
      <c r="P181" s="20">
        <f t="shared" si="32"/>
        <v>0</v>
      </c>
      <c r="Q181" s="21"/>
      <c r="R181" s="21"/>
      <c r="S181" s="21"/>
      <c r="T181" s="21"/>
      <c r="U181" s="21"/>
      <c r="V181" s="21"/>
      <c r="W181" s="21"/>
      <c r="X181" s="21"/>
      <c r="Y181" s="21"/>
      <c r="Z181" s="21"/>
    </row>
    <row r="182" spans="1:26">
      <c r="A182" s="43">
        <v>175</v>
      </c>
      <c r="B182" s="44" t="str">
        <f t="shared" si="33"/>
        <v>15-й год 7-й мес</v>
      </c>
      <c r="C182" s="45">
        <f t="shared" si="39"/>
        <v>46517</v>
      </c>
      <c r="D182" s="46">
        <f t="shared" si="29"/>
        <v>0</v>
      </c>
      <c r="E182" s="47">
        <f t="shared" si="34"/>
        <v>0</v>
      </c>
      <c r="F182" s="47">
        <f t="shared" si="40"/>
        <v>0</v>
      </c>
      <c r="G182" s="48">
        <f t="shared" si="35"/>
        <v>0</v>
      </c>
      <c r="H182" s="49">
        <f t="shared" si="30"/>
        <v>0</v>
      </c>
      <c r="I182" s="47">
        <f t="shared" si="41"/>
        <v>0</v>
      </c>
      <c r="J182" s="47">
        <f t="shared" si="36"/>
        <v>0</v>
      </c>
      <c r="K182" s="50">
        <f t="shared" si="37"/>
        <v>0</v>
      </c>
      <c r="L182" s="63"/>
      <c r="M182" s="67"/>
      <c r="N182" s="51">
        <f t="shared" si="31"/>
        <v>7</v>
      </c>
      <c r="O182" s="19">
        <f t="shared" si="38"/>
        <v>10</v>
      </c>
      <c r="P182" s="20">
        <f t="shared" si="32"/>
        <v>0</v>
      </c>
      <c r="Q182" s="21"/>
      <c r="R182" s="21"/>
      <c r="S182" s="21"/>
      <c r="T182" s="21"/>
      <c r="U182" s="21"/>
      <c r="V182" s="21"/>
      <c r="W182" s="21"/>
      <c r="X182" s="21"/>
      <c r="Y182" s="21"/>
      <c r="Z182" s="21"/>
    </row>
    <row r="183" spans="1:26">
      <c r="A183" s="43">
        <v>176</v>
      </c>
      <c r="B183" s="44" t="str">
        <f t="shared" si="33"/>
        <v>15-й год 8-й мес</v>
      </c>
      <c r="C183" s="45">
        <f t="shared" si="39"/>
        <v>46548</v>
      </c>
      <c r="D183" s="46">
        <f t="shared" si="29"/>
        <v>0</v>
      </c>
      <c r="E183" s="47">
        <f t="shared" si="34"/>
        <v>0</v>
      </c>
      <c r="F183" s="47">
        <f t="shared" si="40"/>
        <v>0</v>
      </c>
      <c r="G183" s="48">
        <f t="shared" si="35"/>
        <v>0</v>
      </c>
      <c r="H183" s="49">
        <f t="shared" si="30"/>
        <v>0</v>
      </c>
      <c r="I183" s="47">
        <f t="shared" si="41"/>
        <v>0</v>
      </c>
      <c r="J183" s="47">
        <f t="shared" si="36"/>
        <v>0</v>
      </c>
      <c r="K183" s="50">
        <f t="shared" si="37"/>
        <v>0</v>
      </c>
      <c r="L183" s="63"/>
      <c r="M183" s="67"/>
      <c r="N183" s="51">
        <f t="shared" si="31"/>
        <v>7</v>
      </c>
      <c r="O183" s="19">
        <f t="shared" si="38"/>
        <v>10</v>
      </c>
      <c r="P183" s="20">
        <f t="shared" si="32"/>
        <v>0</v>
      </c>
      <c r="Q183" s="21"/>
      <c r="R183" s="21"/>
      <c r="S183" s="21"/>
      <c r="T183" s="21"/>
      <c r="U183" s="21"/>
      <c r="V183" s="21"/>
      <c r="W183" s="21"/>
      <c r="X183" s="21"/>
      <c r="Y183" s="21"/>
      <c r="Z183" s="21"/>
    </row>
    <row r="184" spans="1:26">
      <c r="A184" s="43">
        <v>177</v>
      </c>
      <c r="B184" s="44" t="str">
        <f t="shared" si="33"/>
        <v>15-й год 9-й мес</v>
      </c>
      <c r="C184" s="45">
        <f t="shared" si="39"/>
        <v>46578</v>
      </c>
      <c r="D184" s="46">
        <f t="shared" si="29"/>
        <v>0</v>
      </c>
      <c r="E184" s="47">
        <f t="shared" si="34"/>
        <v>0</v>
      </c>
      <c r="F184" s="47">
        <f t="shared" si="40"/>
        <v>0</v>
      </c>
      <c r="G184" s="48">
        <f t="shared" si="35"/>
        <v>0</v>
      </c>
      <c r="H184" s="49">
        <f t="shared" si="30"/>
        <v>0</v>
      </c>
      <c r="I184" s="47">
        <f t="shared" si="41"/>
        <v>0</v>
      </c>
      <c r="J184" s="47">
        <f t="shared" si="36"/>
        <v>0</v>
      </c>
      <c r="K184" s="50">
        <f t="shared" si="37"/>
        <v>0</v>
      </c>
      <c r="L184" s="63"/>
      <c r="M184" s="67"/>
      <c r="N184" s="51">
        <f t="shared" si="31"/>
        <v>7</v>
      </c>
      <c r="O184" s="19">
        <f t="shared" si="38"/>
        <v>10</v>
      </c>
      <c r="P184" s="20">
        <f t="shared" si="32"/>
        <v>0</v>
      </c>
      <c r="Q184" s="21"/>
      <c r="R184" s="21"/>
      <c r="S184" s="21"/>
      <c r="T184" s="21"/>
      <c r="U184" s="21"/>
      <c r="V184" s="21"/>
      <c r="W184" s="21"/>
      <c r="X184" s="21"/>
      <c r="Y184" s="21"/>
      <c r="Z184" s="21"/>
    </row>
    <row r="185" spans="1:26">
      <c r="A185" s="43">
        <v>178</v>
      </c>
      <c r="B185" s="44" t="str">
        <f t="shared" si="33"/>
        <v>15-й год 10-й мес</v>
      </c>
      <c r="C185" s="45">
        <f t="shared" si="39"/>
        <v>46609</v>
      </c>
      <c r="D185" s="46">
        <f t="shared" si="29"/>
        <v>0</v>
      </c>
      <c r="E185" s="47">
        <f t="shared" si="34"/>
        <v>0</v>
      </c>
      <c r="F185" s="47">
        <f t="shared" si="40"/>
        <v>0</v>
      </c>
      <c r="G185" s="48">
        <f t="shared" si="35"/>
        <v>0</v>
      </c>
      <c r="H185" s="49">
        <f t="shared" si="30"/>
        <v>0</v>
      </c>
      <c r="I185" s="47">
        <f t="shared" si="41"/>
        <v>0</v>
      </c>
      <c r="J185" s="47">
        <f t="shared" si="36"/>
        <v>0</v>
      </c>
      <c r="K185" s="50">
        <f t="shared" si="37"/>
        <v>0</v>
      </c>
      <c r="L185" s="63"/>
      <c r="M185" s="67"/>
      <c r="N185" s="51">
        <f t="shared" si="31"/>
        <v>7</v>
      </c>
      <c r="O185" s="19">
        <f t="shared" si="38"/>
        <v>10</v>
      </c>
      <c r="P185" s="20">
        <f t="shared" si="32"/>
        <v>0</v>
      </c>
      <c r="Q185" s="21"/>
      <c r="R185" s="21"/>
      <c r="S185" s="21"/>
      <c r="T185" s="21"/>
      <c r="U185" s="21"/>
      <c r="V185" s="21"/>
      <c r="W185" s="21"/>
      <c r="X185" s="21"/>
      <c r="Y185" s="21"/>
      <c r="Z185" s="21"/>
    </row>
    <row r="186" spans="1:26">
      <c r="A186" s="43">
        <v>179</v>
      </c>
      <c r="B186" s="44" t="str">
        <f t="shared" si="33"/>
        <v>15-й год 11-й мес</v>
      </c>
      <c r="C186" s="45">
        <f t="shared" si="39"/>
        <v>46640</v>
      </c>
      <c r="D186" s="46">
        <f t="shared" si="29"/>
        <v>0</v>
      </c>
      <c r="E186" s="47">
        <f t="shared" si="34"/>
        <v>0</v>
      </c>
      <c r="F186" s="47">
        <f t="shared" si="40"/>
        <v>0</v>
      </c>
      <c r="G186" s="48">
        <f t="shared" si="35"/>
        <v>0</v>
      </c>
      <c r="H186" s="49">
        <f t="shared" si="30"/>
        <v>0</v>
      </c>
      <c r="I186" s="47">
        <f t="shared" si="41"/>
        <v>0</v>
      </c>
      <c r="J186" s="47">
        <f t="shared" si="36"/>
        <v>0</v>
      </c>
      <c r="K186" s="50">
        <f t="shared" si="37"/>
        <v>0</v>
      </c>
      <c r="L186" s="63"/>
      <c r="M186" s="67"/>
      <c r="N186" s="51">
        <f t="shared" si="31"/>
        <v>7</v>
      </c>
      <c r="O186" s="19">
        <f t="shared" si="38"/>
        <v>10</v>
      </c>
      <c r="P186" s="20">
        <f t="shared" si="32"/>
        <v>0</v>
      </c>
      <c r="Q186" s="21"/>
      <c r="R186" s="21"/>
      <c r="S186" s="21"/>
      <c r="T186" s="21"/>
      <c r="U186" s="21"/>
      <c r="V186" s="21"/>
      <c r="W186" s="21"/>
      <c r="X186" s="21"/>
      <c r="Y186" s="21"/>
      <c r="Z186" s="21"/>
    </row>
    <row r="187" spans="1:26">
      <c r="A187" s="43">
        <v>180</v>
      </c>
      <c r="B187" s="44" t="str">
        <f t="shared" si="33"/>
        <v>15-й год 12-й мес</v>
      </c>
      <c r="C187" s="45">
        <f t="shared" si="39"/>
        <v>46670</v>
      </c>
      <c r="D187" s="46">
        <f t="shared" si="29"/>
        <v>0</v>
      </c>
      <c r="E187" s="47">
        <f t="shared" si="34"/>
        <v>0</v>
      </c>
      <c r="F187" s="47">
        <f t="shared" si="40"/>
        <v>0</v>
      </c>
      <c r="G187" s="48">
        <f t="shared" si="35"/>
        <v>0</v>
      </c>
      <c r="H187" s="49">
        <f t="shared" si="30"/>
        <v>0</v>
      </c>
      <c r="I187" s="47">
        <f t="shared" si="41"/>
        <v>0</v>
      </c>
      <c r="J187" s="47">
        <f t="shared" si="36"/>
        <v>0</v>
      </c>
      <c r="K187" s="50">
        <f t="shared" si="37"/>
        <v>0</v>
      </c>
      <c r="L187" s="63"/>
      <c r="M187" s="67"/>
      <c r="N187" s="51">
        <f t="shared" si="31"/>
        <v>7</v>
      </c>
      <c r="O187" s="19">
        <f t="shared" si="38"/>
        <v>10</v>
      </c>
      <c r="P187" s="20">
        <f t="shared" si="32"/>
        <v>0</v>
      </c>
      <c r="Q187" s="21"/>
      <c r="R187" s="21"/>
      <c r="S187" s="21"/>
      <c r="T187" s="21"/>
      <c r="U187" s="21"/>
      <c r="V187" s="21"/>
      <c r="W187" s="21"/>
      <c r="X187" s="21"/>
      <c r="Y187" s="21"/>
      <c r="Z187" s="21"/>
    </row>
    <row r="188" spans="1:26">
      <c r="A188" s="52">
        <v>181</v>
      </c>
      <c r="B188" s="44" t="str">
        <f t="shared" si="33"/>
        <v>16-й год 1-й мес</v>
      </c>
      <c r="C188" s="45">
        <f t="shared" si="39"/>
        <v>46701</v>
      </c>
      <c r="D188" s="46">
        <f t="shared" si="29"/>
        <v>0</v>
      </c>
      <c r="E188" s="53">
        <f t="shared" si="34"/>
        <v>0</v>
      </c>
      <c r="F188" s="47">
        <f t="shared" si="40"/>
        <v>0</v>
      </c>
      <c r="G188" s="54">
        <f t="shared" si="35"/>
        <v>0</v>
      </c>
      <c r="H188" s="55">
        <f t="shared" si="30"/>
        <v>0</v>
      </c>
      <c r="I188" s="53">
        <f t="shared" si="41"/>
        <v>0</v>
      </c>
      <c r="J188" s="53">
        <f t="shared" si="36"/>
        <v>0</v>
      </c>
      <c r="K188" s="56">
        <f t="shared" si="37"/>
        <v>0</v>
      </c>
      <c r="L188" s="65"/>
      <c r="M188" s="64"/>
      <c r="N188" s="51">
        <f t="shared" si="31"/>
        <v>7</v>
      </c>
      <c r="O188" s="19">
        <f t="shared" si="38"/>
        <v>10</v>
      </c>
      <c r="P188" s="20">
        <f t="shared" si="32"/>
        <v>0</v>
      </c>
      <c r="Q188" s="21"/>
      <c r="R188" s="21"/>
      <c r="S188" s="21"/>
      <c r="T188" s="21"/>
      <c r="U188" s="21"/>
      <c r="V188" s="21"/>
      <c r="W188" s="21"/>
      <c r="X188" s="21"/>
      <c r="Y188" s="21"/>
      <c r="Z188" s="21"/>
    </row>
    <row r="189" spans="1:26">
      <c r="A189" s="57">
        <v>182</v>
      </c>
      <c r="B189" s="44" t="str">
        <f t="shared" si="33"/>
        <v>16-й год 2-й мес</v>
      </c>
      <c r="C189" s="45">
        <f t="shared" si="39"/>
        <v>46731</v>
      </c>
      <c r="D189" s="46">
        <f t="shared" si="29"/>
        <v>0</v>
      </c>
      <c r="E189" s="47">
        <f t="shared" si="34"/>
        <v>0</v>
      </c>
      <c r="F189" s="47">
        <f t="shared" si="40"/>
        <v>0</v>
      </c>
      <c r="G189" s="48">
        <f t="shared" si="35"/>
        <v>0</v>
      </c>
      <c r="H189" s="49">
        <f t="shared" si="30"/>
        <v>0</v>
      </c>
      <c r="I189" s="47">
        <f t="shared" si="41"/>
        <v>0</v>
      </c>
      <c r="J189" s="47">
        <f t="shared" si="36"/>
        <v>0</v>
      </c>
      <c r="K189" s="50">
        <f t="shared" si="37"/>
        <v>0</v>
      </c>
      <c r="L189" s="63"/>
      <c r="M189" s="67"/>
      <c r="N189" s="51">
        <f t="shared" si="31"/>
        <v>7</v>
      </c>
      <c r="O189" s="19">
        <f t="shared" si="38"/>
        <v>10</v>
      </c>
      <c r="P189" s="20">
        <f t="shared" si="32"/>
        <v>0</v>
      </c>
      <c r="Q189" s="21"/>
      <c r="R189" s="21"/>
      <c r="S189" s="21"/>
      <c r="T189" s="21"/>
      <c r="U189" s="21"/>
      <c r="V189" s="21"/>
      <c r="W189" s="21"/>
      <c r="X189" s="21"/>
      <c r="Y189" s="21"/>
      <c r="Z189" s="21"/>
    </row>
    <row r="190" spans="1:26">
      <c r="A190" s="57">
        <v>183</v>
      </c>
      <c r="B190" s="44" t="str">
        <f t="shared" si="33"/>
        <v>16-й год 3-й мес</v>
      </c>
      <c r="C190" s="45">
        <f t="shared" si="39"/>
        <v>46762</v>
      </c>
      <c r="D190" s="46">
        <f t="shared" si="29"/>
        <v>0</v>
      </c>
      <c r="E190" s="47">
        <f t="shared" si="34"/>
        <v>0</v>
      </c>
      <c r="F190" s="47">
        <f t="shared" si="40"/>
        <v>0</v>
      </c>
      <c r="G190" s="48">
        <f t="shared" si="35"/>
        <v>0</v>
      </c>
      <c r="H190" s="49">
        <f t="shared" si="30"/>
        <v>0</v>
      </c>
      <c r="I190" s="47">
        <f t="shared" si="41"/>
        <v>0</v>
      </c>
      <c r="J190" s="47">
        <f t="shared" si="36"/>
        <v>0</v>
      </c>
      <c r="K190" s="50">
        <f t="shared" si="37"/>
        <v>0</v>
      </c>
      <c r="L190" s="63"/>
      <c r="M190" s="67"/>
      <c r="N190" s="51">
        <f t="shared" si="31"/>
        <v>7</v>
      </c>
      <c r="O190" s="19">
        <f t="shared" si="38"/>
        <v>10</v>
      </c>
      <c r="P190" s="20">
        <f t="shared" si="32"/>
        <v>0</v>
      </c>
      <c r="Q190" s="21"/>
      <c r="R190" s="21"/>
      <c r="S190" s="21"/>
      <c r="T190" s="21"/>
      <c r="U190" s="21"/>
      <c r="V190" s="21"/>
      <c r="W190" s="21"/>
      <c r="X190" s="21"/>
      <c r="Y190" s="21"/>
      <c r="Z190" s="21"/>
    </row>
    <row r="191" spans="1:26">
      <c r="A191" s="57">
        <v>184</v>
      </c>
      <c r="B191" s="44" t="str">
        <f t="shared" si="33"/>
        <v>16-й год 4-й мес</v>
      </c>
      <c r="C191" s="45">
        <f t="shared" si="39"/>
        <v>46793</v>
      </c>
      <c r="D191" s="46">
        <f t="shared" si="29"/>
        <v>0</v>
      </c>
      <c r="E191" s="47">
        <f t="shared" si="34"/>
        <v>0</v>
      </c>
      <c r="F191" s="47">
        <f t="shared" si="40"/>
        <v>0</v>
      </c>
      <c r="G191" s="48">
        <f t="shared" si="35"/>
        <v>0</v>
      </c>
      <c r="H191" s="49">
        <f t="shared" si="30"/>
        <v>0</v>
      </c>
      <c r="I191" s="47">
        <f t="shared" si="41"/>
        <v>0</v>
      </c>
      <c r="J191" s="47">
        <f t="shared" si="36"/>
        <v>0</v>
      </c>
      <c r="K191" s="50">
        <f t="shared" si="37"/>
        <v>0</v>
      </c>
      <c r="L191" s="63"/>
      <c r="M191" s="67"/>
      <c r="N191" s="51">
        <f t="shared" si="31"/>
        <v>7</v>
      </c>
      <c r="O191" s="19">
        <f t="shared" si="38"/>
        <v>10</v>
      </c>
      <c r="P191" s="20">
        <f t="shared" si="32"/>
        <v>0</v>
      </c>
      <c r="Q191" s="21"/>
      <c r="R191" s="21"/>
      <c r="S191" s="21"/>
      <c r="T191" s="21"/>
      <c r="U191" s="21"/>
      <c r="V191" s="21"/>
      <c r="W191" s="21"/>
      <c r="X191" s="21"/>
      <c r="Y191" s="21"/>
      <c r="Z191" s="21"/>
    </row>
    <row r="192" spans="1:26">
      <c r="A192" s="57">
        <v>185</v>
      </c>
      <c r="B192" s="44" t="str">
        <f t="shared" si="33"/>
        <v>16-й год 5-й мес</v>
      </c>
      <c r="C192" s="45">
        <f t="shared" si="39"/>
        <v>46822</v>
      </c>
      <c r="D192" s="46">
        <f t="shared" si="29"/>
        <v>0</v>
      </c>
      <c r="E192" s="47">
        <f t="shared" si="34"/>
        <v>0</v>
      </c>
      <c r="F192" s="47">
        <f t="shared" si="40"/>
        <v>0</v>
      </c>
      <c r="G192" s="48">
        <f t="shared" si="35"/>
        <v>0</v>
      </c>
      <c r="H192" s="49">
        <f t="shared" si="30"/>
        <v>0</v>
      </c>
      <c r="I192" s="47">
        <f t="shared" si="41"/>
        <v>0</v>
      </c>
      <c r="J192" s="47">
        <f t="shared" si="36"/>
        <v>0</v>
      </c>
      <c r="K192" s="50">
        <f t="shared" si="37"/>
        <v>0</v>
      </c>
      <c r="L192" s="63"/>
      <c r="M192" s="67"/>
      <c r="N192" s="51">
        <f t="shared" si="31"/>
        <v>7</v>
      </c>
      <c r="O192" s="19">
        <f t="shared" si="38"/>
        <v>10</v>
      </c>
      <c r="P192" s="20">
        <f t="shared" si="32"/>
        <v>0</v>
      </c>
      <c r="Q192" s="21"/>
      <c r="R192" s="21"/>
      <c r="S192" s="21"/>
      <c r="T192" s="21"/>
      <c r="U192" s="21"/>
      <c r="V192" s="21"/>
      <c r="W192" s="21"/>
      <c r="X192" s="21"/>
      <c r="Y192" s="21"/>
      <c r="Z192" s="21"/>
    </row>
    <row r="193" spans="1:26">
      <c r="A193" s="57">
        <v>186</v>
      </c>
      <c r="B193" s="44" t="str">
        <f t="shared" si="33"/>
        <v>16-й год 6-й мес</v>
      </c>
      <c r="C193" s="45">
        <f t="shared" si="39"/>
        <v>46853</v>
      </c>
      <c r="D193" s="46">
        <f t="shared" si="29"/>
        <v>0</v>
      </c>
      <c r="E193" s="47">
        <f t="shared" si="34"/>
        <v>0</v>
      </c>
      <c r="F193" s="47">
        <f t="shared" si="40"/>
        <v>0</v>
      </c>
      <c r="G193" s="48">
        <f t="shared" si="35"/>
        <v>0</v>
      </c>
      <c r="H193" s="49">
        <f t="shared" si="30"/>
        <v>0</v>
      </c>
      <c r="I193" s="47">
        <f t="shared" si="41"/>
        <v>0</v>
      </c>
      <c r="J193" s="47">
        <f t="shared" si="36"/>
        <v>0</v>
      </c>
      <c r="K193" s="50">
        <f t="shared" si="37"/>
        <v>0</v>
      </c>
      <c r="L193" s="63"/>
      <c r="M193" s="67"/>
      <c r="N193" s="51">
        <f t="shared" si="31"/>
        <v>7</v>
      </c>
      <c r="O193" s="19">
        <f t="shared" si="38"/>
        <v>10</v>
      </c>
      <c r="P193" s="20">
        <f t="shared" si="32"/>
        <v>0</v>
      </c>
      <c r="Q193" s="21"/>
      <c r="R193" s="21"/>
      <c r="S193" s="21"/>
      <c r="T193" s="21"/>
      <c r="U193" s="21"/>
      <c r="V193" s="21"/>
      <c r="W193" s="21"/>
      <c r="X193" s="21"/>
      <c r="Y193" s="21"/>
      <c r="Z193" s="21"/>
    </row>
    <row r="194" spans="1:26">
      <c r="A194" s="57">
        <v>187</v>
      </c>
      <c r="B194" s="44" t="str">
        <f t="shared" si="33"/>
        <v>16-й год 7-й мес</v>
      </c>
      <c r="C194" s="45">
        <f t="shared" si="39"/>
        <v>46883</v>
      </c>
      <c r="D194" s="46">
        <f t="shared" si="29"/>
        <v>0</v>
      </c>
      <c r="E194" s="47">
        <f t="shared" si="34"/>
        <v>0</v>
      </c>
      <c r="F194" s="47">
        <f t="shared" si="40"/>
        <v>0</v>
      </c>
      <c r="G194" s="48">
        <f t="shared" si="35"/>
        <v>0</v>
      </c>
      <c r="H194" s="49">
        <f t="shared" si="30"/>
        <v>0</v>
      </c>
      <c r="I194" s="47">
        <f t="shared" si="41"/>
        <v>0</v>
      </c>
      <c r="J194" s="47">
        <f t="shared" si="36"/>
        <v>0</v>
      </c>
      <c r="K194" s="50">
        <f t="shared" si="37"/>
        <v>0</v>
      </c>
      <c r="L194" s="63"/>
      <c r="M194" s="67"/>
      <c r="N194" s="51">
        <f t="shared" si="31"/>
        <v>7</v>
      </c>
      <c r="O194" s="19">
        <f t="shared" si="38"/>
        <v>10</v>
      </c>
      <c r="P194" s="20">
        <f t="shared" si="32"/>
        <v>0</v>
      </c>
      <c r="Q194" s="21"/>
      <c r="R194" s="21"/>
      <c r="S194" s="21"/>
      <c r="T194" s="21"/>
      <c r="U194" s="21"/>
      <c r="V194" s="21"/>
      <c r="W194" s="21"/>
      <c r="X194" s="21"/>
      <c r="Y194" s="21"/>
      <c r="Z194" s="21"/>
    </row>
    <row r="195" spans="1:26">
      <c r="A195" s="57">
        <v>188</v>
      </c>
      <c r="B195" s="44" t="str">
        <f t="shared" si="33"/>
        <v>16-й год 8-й мес</v>
      </c>
      <c r="C195" s="45">
        <f t="shared" si="39"/>
        <v>46914</v>
      </c>
      <c r="D195" s="46">
        <f t="shared" si="29"/>
        <v>0</v>
      </c>
      <c r="E195" s="47">
        <f t="shared" si="34"/>
        <v>0</v>
      </c>
      <c r="F195" s="47">
        <f t="shared" si="40"/>
        <v>0</v>
      </c>
      <c r="G195" s="48">
        <f t="shared" si="35"/>
        <v>0</v>
      </c>
      <c r="H195" s="49">
        <f t="shared" si="30"/>
        <v>0</v>
      </c>
      <c r="I195" s="47">
        <f t="shared" si="41"/>
        <v>0</v>
      </c>
      <c r="J195" s="47">
        <f t="shared" si="36"/>
        <v>0</v>
      </c>
      <c r="K195" s="50">
        <f t="shared" si="37"/>
        <v>0</v>
      </c>
      <c r="L195" s="63"/>
      <c r="M195" s="67"/>
      <c r="N195" s="51">
        <f t="shared" si="31"/>
        <v>7</v>
      </c>
      <c r="O195" s="19">
        <f t="shared" si="38"/>
        <v>10</v>
      </c>
      <c r="P195" s="20">
        <f t="shared" si="32"/>
        <v>0</v>
      </c>
      <c r="Q195" s="21"/>
      <c r="R195" s="21"/>
      <c r="S195" s="21"/>
      <c r="T195" s="21"/>
      <c r="U195" s="21"/>
      <c r="V195" s="21"/>
      <c r="W195" s="21"/>
      <c r="X195" s="21"/>
      <c r="Y195" s="21"/>
      <c r="Z195" s="21"/>
    </row>
    <row r="196" spans="1:26">
      <c r="A196" s="57">
        <v>189</v>
      </c>
      <c r="B196" s="44" t="str">
        <f t="shared" si="33"/>
        <v>16-й год 9-й мес</v>
      </c>
      <c r="C196" s="45">
        <f t="shared" si="39"/>
        <v>46944</v>
      </c>
      <c r="D196" s="46">
        <f t="shared" si="29"/>
        <v>0</v>
      </c>
      <c r="E196" s="47">
        <f t="shared" si="34"/>
        <v>0</v>
      </c>
      <c r="F196" s="47">
        <f t="shared" si="40"/>
        <v>0</v>
      </c>
      <c r="G196" s="48">
        <f t="shared" si="35"/>
        <v>0</v>
      </c>
      <c r="H196" s="49">
        <f t="shared" si="30"/>
        <v>0</v>
      </c>
      <c r="I196" s="47">
        <f t="shared" si="41"/>
        <v>0</v>
      </c>
      <c r="J196" s="47">
        <f t="shared" si="36"/>
        <v>0</v>
      </c>
      <c r="K196" s="50">
        <f t="shared" si="37"/>
        <v>0</v>
      </c>
      <c r="L196" s="63"/>
      <c r="M196" s="67"/>
      <c r="N196" s="51">
        <f t="shared" si="31"/>
        <v>7</v>
      </c>
      <c r="O196" s="19">
        <f t="shared" si="38"/>
        <v>10</v>
      </c>
      <c r="P196" s="20">
        <f t="shared" si="32"/>
        <v>0</v>
      </c>
      <c r="Q196" s="21"/>
      <c r="R196" s="21"/>
      <c r="S196" s="21"/>
      <c r="T196" s="21"/>
      <c r="U196" s="21"/>
      <c r="V196" s="21"/>
      <c r="W196" s="21"/>
      <c r="X196" s="21"/>
      <c r="Y196" s="21"/>
      <c r="Z196" s="21"/>
    </row>
    <row r="197" spans="1:26">
      <c r="A197" s="57">
        <v>190</v>
      </c>
      <c r="B197" s="44" t="str">
        <f t="shared" si="33"/>
        <v>16-й год 10-й мес</v>
      </c>
      <c r="C197" s="45">
        <f t="shared" si="39"/>
        <v>46975</v>
      </c>
      <c r="D197" s="46">
        <f t="shared" si="29"/>
        <v>0</v>
      </c>
      <c r="E197" s="47">
        <f t="shared" si="34"/>
        <v>0</v>
      </c>
      <c r="F197" s="47">
        <f t="shared" si="40"/>
        <v>0</v>
      </c>
      <c r="G197" s="48">
        <f t="shared" si="35"/>
        <v>0</v>
      </c>
      <c r="H197" s="49">
        <f t="shared" si="30"/>
        <v>0</v>
      </c>
      <c r="I197" s="47">
        <f t="shared" si="41"/>
        <v>0</v>
      </c>
      <c r="J197" s="47">
        <f t="shared" si="36"/>
        <v>0</v>
      </c>
      <c r="K197" s="50">
        <f t="shared" si="37"/>
        <v>0</v>
      </c>
      <c r="L197" s="63"/>
      <c r="M197" s="67"/>
      <c r="N197" s="51">
        <f t="shared" si="31"/>
        <v>7</v>
      </c>
      <c r="O197" s="19">
        <f t="shared" si="38"/>
        <v>10</v>
      </c>
      <c r="P197" s="20">
        <f t="shared" si="32"/>
        <v>0</v>
      </c>
      <c r="Q197" s="21"/>
      <c r="R197" s="21"/>
      <c r="S197" s="21"/>
      <c r="T197" s="21"/>
      <c r="U197" s="21"/>
      <c r="V197" s="21"/>
      <c r="W197" s="21"/>
      <c r="X197" s="21"/>
      <c r="Y197" s="21"/>
      <c r="Z197" s="21"/>
    </row>
    <row r="198" spans="1:26">
      <c r="A198" s="57">
        <v>191</v>
      </c>
      <c r="B198" s="44" t="str">
        <f t="shared" si="33"/>
        <v>16-й год 11-й мес</v>
      </c>
      <c r="C198" s="45">
        <f t="shared" si="39"/>
        <v>47006</v>
      </c>
      <c r="D198" s="46">
        <f t="shared" si="29"/>
        <v>0</v>
      </c>
      <c r="E198" s="47">
        <f t="shared" si="34"/>
        <v>0</v>
      </c>
      <c r="F198" s="47">
        <f t="shared" si="40"/>
        <v>0</v>
      </c>
      <c r="G198" s="48">
        <f t="shared" si="35"/>
        <v>0</v>
      </c>
      <c r="H198" s="49">
        <f t="shared" si="30"/>
        <v>0</v>
      </c>
      <c r="I198" s="47">
        <f t="shared" si="41"/>
        <v>0</v>
      </c>
      <c r="J198" s="47">
        <f t="shared" si="36"/>
        <v>0</v>
      </c>
      <c r="K198" s="50">
        <f t="shared" si="37"/>
        <v>0</v>
      </c>
      <c r="L198" s="63"/>
      <c r="M198" s="67"/>
      <c r="N198" s="51">
        <f t="shared" si="31"/>
        <v>7</v>
      </c>
      <c r="O198" s="19">
        <f t="shared" si="38"/>
        <v>10</v>
      </c>
      <c r="P198" s="20">
        <f t="shared" si="32"/>
        <v>0</v>
      </c>
      <c r="Q198" s="21"/>
      <c r="R198" s="21"/>
      <c r="S198" s="21"/>
      <c r="T198" s="21"/>
      <c r="U198" s="21"/>
      <c r="V198" s="21"/>
      <c r="W198" s="21"/>
      <c r="X198" s="21"/>
      <c r="Y198" s="21"/>
      <c r="Z198" s="21"/>
    </row>
    <row r="199" spans="1:26">
      <c r="A199" s="58">
        <v>192</v>
      </c>
      <c r="B199" s="44" t="str">
        <f t="shared" si="33"/>
        <v>16-й год 12-й мес</v>
      </c>
      <c r="C199" s="45">
        <f t="shared" si="39"/>
        <v>47036</v>
      </c>
      <c r="D199" s="46">
        <f t="shared" si="29"/>
        <v>0</v>
      </c>
      <c r="E199" s="59">
        <f t="shared" si="34"/>
        <v>0</v>
      </c>
      <c r="F199" s="47">
        <f t="shared" si="40"/>
        <v>0</v>
      </c>
      <c r="G199" s="60">
        <f t="shared" si="35"/>
        <v>0</v>
      </c>
      <c r="H199" s="61">
        <f t="shared" si="30"/>
        <v>0</v>
      </c>
      <c r="I199" s="59">
        <f t="shared" si="41"/>
        <v>0</v>
      </c>
      <c r="J199" s="59">
        <f t="shared" si="36"/>
        <v>0</v>
      </c>
      <c r="K199" s="62">
        <f t="shared" si="37"/>
        <v>0</v>
      </c>
      <c r="L199" s="66"/>
      <c r="M199" s="68"/>
      <c r="N199" s="51">
        <f t="shared" si="31"/>
        <v>7</v>
      </c>
      <c r="O199" s="19">
        <f t="shared" si="38"/>
        <v>10</v>
      </c>
      <c r="P199" s="20">
        <f t="shared" si="32"/>
        <v>0</v>
      </c>
      <c r="Q199" s="21"/>
      <c r="R199" s="21"/>
      <c r="S199" s="21"/>
      <c r="T199" s="21"/>
      <c r="U199" s="21"/>
      <c r="V199" s="21"/>
      <c r="W199" s="21"/>
      <c r="X199" s="21"/>
      <c r="Y199" s="21"/>
      <c r="Z199" s="21"/>
    </row>
    <row r="200" spans="1:26">
      <c r="A200" s="43">
        <v>193</v>
      </c>
      <c r="B200" s="44" t="str">
        <f t="shared" si="33"/>
        <v>17-й год 1-й мес</v>
      </c>
      <c r="C200" s="45">
        <f t="shared" si="39"/>
        <v>47067</v>
      </c>
      <c r="D200" s="46">
        <f t="shared" ref="D200:D263" si="42">IF(P200*$D$2/100/12/(1-(1+$D$2/100/12)^(-O200))&lt;G199,ROUNDUP(P200*$D$2/100/12/(1-(1+$D$2/100/12)^(-O200)),0),G199+F200)</f>
        <v>0</v>
      </c>
      <c r="E200" s="47">
        <f t="shared" si="34"/>
        <v>0</v>
      </c>
      <c r="F200" s="47">
        <f t="shared" si="40"/>
        <v>0</v>
      </c>
      <c r="G200" s="48">
        <f t="shared" si="35"/>
        <v>0</v>
      </c>
      <c r="H200" s="49">
        <f t="shared" ref="H200:H263" si="43">I200+J200</f>
        <v>0</v>
      </c>
      <c r="I200" s="47">
        <f t="shared" si="41"/>
        <v>0</v>
      </c>
      <c r="J200" s="47">
        <f t="shared" si="36"/>
        <v>0</v>
      </c>
      <c r="K200" s="50">
        <f t="shared" si="37"/>
        <v>0</v>
      </c>
      <c r="L200" s="63"/>
      <c r="M200" s="67"/>
      <c r="N200" s="51">
        <f t="shared" ref="N200:N263" si="44">IF(ISBLANK(L199),VALUE(N199),ROW(L199))</f>
        <v>7</v>
      </c>
      <c r="O200" s="19">
        <f t="shared" si="38"/>
        <v>10</v>
      </c>
      <c r="P200" s="20">
        <f t="shared" ref="P200:P263" si="45">INDEX(G:G,N200,1)</f>
        <v>0</v>
      </c>
      <c r="Q200" s="21"/>
      <c r="R200" s="21"/>
      <c r="S200" s="21"/>
      <c r="T200" s="21"/>
      <c r="U200" s="21"/>
      <c r="V200" s="21"/>
      <c r="W200" s="21"/>
      <c r="X200" s="21"/>
      <c r="Y200" s="21"/>
      <c r="Z200" s="21"/>
    </row>
    <row r="201" spans="1:26">
      <c r="A201" s="43">
        <v>194</v>
      </c>
      <c r="B201" s="44" t="str">
        <f t="shared" ref="B201:B264" si="46">CONCATENATE(INT((A201-1)/12)+1,"-й год ",A201-1-INT((A201-1)/12)*12+1,"-й мес")</f>
        <v>17-й год 2-й мес</v>
      </c>
      <c r="C201" s="45">
        <f t="shared" si="39"/>
        <v>47097</v>
      </c>
      <c r="D201" s="46">
        <f t="shared" si="42"/>
        <v>0</v>
      </c>
      <c r="E201" s="47">
        <f t="shared" ref="E201:E264" si="47">D201-F201</f>
        <v>0</v>
      </c>
      <c r="F201" s="47">
        <f t="shared" si="40"/>
        <v>0</v>
      </c>
      <c r="G201" s="48">
        <f t="shared" ref="G201:G264" si="48">G200-E201-L201-M201</f>
        <v>0</v>
      </c>
      <c r="H201" s="49">
        <f t="shared" si="43"/>
        <v>0</v>
      </c>
      <c r="I201" s="47">
        <f t="shared" si="41"/>
        <v>0</v>
      </c>
      <c r="J201" s="47">
        <f t="shared" ref="J201:J264" si="49">K200*$D$2/12/100</f>
        <v>0</v>
      </c>
      <c r="K201" s="50">
        <f t="shared" ref="K201:K264" si="50">K200-I201-L201-M201</f>
        <v>0</v>
      </c>
      <c r="L201" s="63"/>
      <c r="M201" s="67"/>
      <c r="N201" s="51">
        <f t="shared" si="44"/>
        <v>7</v>
      </c>
      <c r="O201" s="19">
        <f t="shared" ref="O201:O264" si="51">O200+N200-N201</f>
        <v>10</v>
      </c>
      <c r="P201" s="20">
        <f t="shared" si="45"/>
        <v>0</v>
      </c>
      <c r="Q201" s="21"/>
      <c r="R201" s="21"/>
      <c r="S201" s="21"/>
      <c r="T201" s="21"/>
      <c r="U201" s="21"/>
      <c r="V201" s="21"/>
      <c r="W201" s="21"/>
      <c r="X201" s="21"/>
      <c r="Y201" s="21"/>
      <c r="Z201" s="21"/>
    </row>
    <row r="202" spans="1:26">
      <c r="A202" s="43">
        <v>195</v>
      </c>
      <c r="B202" s="44" t="str">
        <f t="shared" si="46"/>
        <v>17-й год 3-й мес</v>
      </c>
      <c r="C202" s="45">
        <f t="shared" ref="C202:C265" si="52">DATE(YEAR(C201),MONTH(C201)+1,DAY(C201))</f>
        <v>47128</v>
      </c>
      <c r="D202" s="46">
        <f t="shared" si="42"/>
        <v>0</v>
      </c>
      <c r="E202" s="47">
        <f t="shared" si="47"/>
        <v>0</v>
      </c>
      <c r="F202" s="47">
        <f t="shared" ref="F202:F265" si="53">G201*$D$2*(C202-C201)/(DATE(YEAR(C202)+1,1,1)-DATE(YEAR(C202),1,1))/100</f>
        <v>0</v>
      </c>
      <c r="G202" s="48">
        <f t="shared" si="48"/>
        <v>0</v>
      </c>
      <c r="H202" s="49">
        <f t="shared" si="43"/>
        <v>0</v>
      </c>
      <c r="I202" s="47">
        <f t="shared" ref="I202:I265" si="54">IF($D$1/$D$3&lt;K201,$D$1/$D$3,K201)</f>
        <v>0</v>
      </c>
      <c r="J202" s="47">
        <f t="shared" si="49"/>
        <v>0</v>
      </c>
      <c r="K202" s="50">
        <f t="shared" si="50"/>
        <v>0</v>
      </c>
      <c r="L202" s="63"/>
      <c r="M202" s="67"/>
      <c r="N202" s="51">
        <f t="shared" si="44"/>
        <v>7</v>
      </c>
      <c r="O202" s="19">
        <f t="shared" si="51"/>
        <v>10</v>
      </c>
      <c r="P202" s="20">
        <f t="shared" si="45"/>
        <v>0</v>
      </c>
      <c r="Q202" s="21"/>
      <c r="R202" s="21"/>
      <c r="S202" s="21"/>
      <c r="T202" s="21"/>
      <c r="U202" s="21"/>
      <c r="V202" s="21"/>
      <c r="W202" s="21"/>
      <c r="X202" s="21"/>
      <c r="Y202" s="21"/>
      <c r="Z202" s="21"/>
    </row>
    <row r="203" spans="1:26">
      <c r="A203" s="43">
        <v>196</v>
      </c>
      <c r="B203" s="44" t="str">
        <f t="shared" si="46"/>
        <v>17-й год 4-й мес</v>
      </c>
      <c r="C203" s="45">
        <f t="shared" si="52"/>
        <v>47159</v>
      </c>
      <c r="D203" s="46">
        <f t="shared" si="42"/>
        <v>0</v>
      </c>
      <c r="E203" s="47">
        <f t="shared" si="47"/>
        <v>0</v>
      </c>
      <c r="F203" s="47">
        <f t="shared" si="53"/>
        <v>0</v>
      </c>
      <c r="G203" s="48">
        <f t="shared" si="48"/>
        <v>0</v>
      </c>
      <c r="H203" s="49">
        <f t="shared" si="43"/>
        <v>0</v>
      </c>
      <c r="I203" s="47">
        <f t="shared" si="54"/>
        <v>0</v>
      </c>
      <c r="J203" s="47">
        <f t="shared" si="49"/>
        <v>0</v>
      </c>
      <c r="K203" s="50">
        <f t="shared" si="50"/>
        <v>0</v>
      </c>
      <c r="L203" s="63"/>
      <c r="M203" s="67"/>
      <c r="N203" s="51">
        <f t="shared" si="44"/>
        <v>7</v>
      </c>
      <c r="O203" s="19">
        <f t="shared" si="51"/>
        <v>10</v>
      </c>
      <c r="P203" s="20">
        <f t="shared" si="45"/>
        <v>0</v>
      </c>
      <c r="Q203" s="21"/>
      <c r="R203" s="21"/>
      <c r="S203" s="21"/>
      <c r="T203" s="21"/>
      <c r="U203" s="21"/>
      <c r="V203" s="21"/>
      <c r="W203" s="21"/>
      <c r="X203" s="21"/>
      <c r="Y203" s="21"/>
      <c r="Z203" s="21"/>
    </row>
    <row r="204" spans="1:26">
      <c r="A204" s="43">
        <v>197</v>
      </c>
      <c r="B204" s="44" t="str">
        <f t="shared" si="46"/>
        <v>17-й год 5-й мес</v>
      </c>
      <c r="C204" s="45">
        <f t="shared" si="52"/>
        <v>47187</v>
      </c>
      <c r="D204" s="46">
        <f t="shared" si="42"/>
        <v>0</v>
      </c>
      <c r="E204" s="47">
        <f t="shared" si="47"/>
        <v>0</v>
      </c>
      <c r="F204" s="47">
        <f t="shared" si="53"/>
        <v>0</v>
      </c>
      <c r="G204" s="48">
        <f t="shared" si="48"/>
        <v>0</v>
      </c>
      <c r="H204" s="49">
        <f t="shared" si="43"/>
        <v>0</v>
      </c>
      <c r="I204" s="47">
        <f t="shared" si="54"/>
        <v>0</v>
      </c>
      <c r="J204" s="47">
        <f t="shared" si="49"/>
        <v>0</v>
      </c>
      <c r="K204" s="50">
        <f t="shared" si="50"/>
        <v>0</v>
      </c>
      <c r="L204" s="63"/>
      <c r="M204" s="67"/>
      <c r="N204" s="51">
        <f t="shared" si="44"/>
        <v>7</v>
      </c>
      <c r="O204" s="19">
        <f t="shared" si="51"/>
        <v>10</v>
      </c>
      <c r="P204" s="20">
        <f t="shared" si="45"/>
        <v>0</v>
      </c>
      <c r="Q204" s="21"/>
      <c r="R204" s="21"/>
      <c r="S204" s="21"/>
      <c r="T204" s="21"/>
      <c r="U204" s="21"/>
      <c r="V204" s="21"/>
      <c r="W204" s="21"/>
      <c r="X204" s="21"/>
      <c r="Y204" s="21"/>
      <c r="Z204" s="21"/>
    </row>
    <row r="205" spans="1:26">
      <c r="A205" s="43">
        <v>198</v>
      </c>
      <c r="B205" s="44" t="str">
        <f t="shared" si="46"/>
        <v>17-й год 6-й мес</v>
      </c>
      <c r="C205" s="45">
        <f t="shared" si="52"/>
        <v>47218</v>
      </c>
      <c r="D205" s="46">
        <f t="shared" si="42"/>
        <v>0</v>
      </c>
      <c r="E205" s="47">
        <f t="shared" si="47"/>
        <v>0</v>
      </c>
      <c r="F205" s="47">
        <f t="shared" si="53"/>
        <v>0</v>
      </c>
      <c r="G205" s="48">
        <f t="shared" si="48"/>
        <v>0</v>
      </c>
      <c r="H205" s="49">
        <f t="shared" si="43"/>
        <v>0</v>
      </c>
      <c r="I205" s="47">
        <f t="shared" si="54"/>
        <v>0</v>
      </c>
      <c r="J205" s="47">
        <f t="shared" si="49"/>
        <v>0</v>
      </c>
      <c r="K205" s="50">
        <f t="shared" si="50"/>
        <v>0</v>
      </c>
      <c r="L205" s="63"/>
      <c r="M205" s="67"/>
      <c r="N205" s="51">
        <f t="shared" si="44"/>
        <v>7</v>
      </c>
      <c r="O205" s="19">
        <f t="shared" si="51"/>
        <v>10</v>
      </c>
      <c r="P205" s="20">
        <f t="shared" si="45"/>
        <v>0</v>
      </c>
      <c r="Q205" s="21"/>
      <c r="R205" s="21"/>
      <c r="S205" s="21"/>
      <c r="T205" s="21"/>
      <c r="U205" s="21"/>
      <c r="V205" s="21"/>
      <c r="W205" s="21"/>
      <c r="X205" s="21"/>
      <c r="Y205" s="21"/>
      <c r="Z205" s="21"/>
    </row>
    <row r="206" spans="1:26">
      <c r="A206" s="43">
        <v>199</v>
      </c>
      <c r="B206" s="44" t="str">
        <f t="shared" si="46"/>
        <v>17-й год 7-й мес</v>
      </c>
      <c r="C206" s="45">
        <f t="shared" si="52"/>
        <v>47248</v>
      </c>
      <c r="D206" s="46">
        <f t="shared" si="42"/>
        <v>0</v>
      </c>
      <c r="E206" s="47">
        <f t="shared" si="47"/>
        <v>0</v>
      </c>
      <c r="F206" s="47">
        <f t="shared" si="53"/>
        <v>0</v>
      </c>
      <c r="G206" s="48">
        <f t="shared" si="48"/>
        <v>0</v>
      </c>
      <c r="H206" s="49">
        <f t="shared" si="43"/>
        <v>0</v>
      </c>
      <c r="I206" s="47">
        <f t="shared" si="54"/>
        <v>0</v>
      </c>
      <c r="J206" s="47">
        <f t="shared" si="49"/>
        <v>0</v>
      </c>
      <c r="K206" s="50">
        <f t="shared" si="50"/>
        <v>0</v>
      </c>
      <c r="L206" s="63"/>
      <c r="M206" s="67"/>
      <c r="N206" s="51">
        <f t="shared" si="44"/>
        <v>7</v>
      </c>
      <c r="O206" s="19">
        <f t="shared" si="51"/>
        <v>10</v>
      </c>
      <c r="P206" s="20">
        <f t="shared" si="45"/>
        <v>0</v>
      </c>
      <c r="Q206" s="21"/>
      <c r="R206" s="21"/>
      <c r="S206" s="21"/>
      <c r="T206" s="21"/>
      <c r="U206" s="21"/>
      <c r="V206" s="21"/>
      <c r="W206" s="21"/>
      <c r="X206" s="21"/>
      <c r="Y206" s="21"/>
      <c r="Z206" s="21"/>
    </row>
    <row r="207" spans="1:26">
      <c r="A207" s="43">
        <v>200</v>
      </c>
      <c r="B207" s="44" t="str">
        <f t="shared" si="46"/>
        <v>17-й год 8-й мес</v>
      </c>
      <c r="C207" s="45">
        <f t="shared" si="52"/>
        <v>47279</v>
      </c>
      <c r="D207" s="46">
        <f t="shared" si="42"/>
        <v>0</v>
      </c>
      <c r="E207" s="47">
        <f t="shared" si="47"/>
        <v>0</v>
      </c>
      <c r="F207" s="47">
        <f t="shared" si="53"/>
        <v>0</v>
      </c>
      <c r="G207" s="48">
        <f t="shared" si="48"/>
        <v>0</v>
      </c>
      <c r="H207" s="49">
        <f t="shared" si="43"/>
        <v>0</v>
      </c>
      <c r="I207" s="47">
        <f t="shared" si="54"/>
        <v>0</v>
      </c>
      <c r="J207" s="47">
        <f t="shared" si="49"/>
        <v>0</v>
      </c>
      <c r="K207" s="50">
        <f t="shared" si="50"/>
        <v>0</v>
      </c>
      <c r="L207" s="63"/>
      <c r="M207" s="67"/>
      <c r="N207" s="51">
        <f t="shared" si="44"/>
        <v>7</v>
      </c>
      <c r="O207" s="19">
        <f t="shared" si="51"/>
        <v>10</v>
      </c>
      <c r="P207" s="20">
        <f t="shared" si="45"/>
        <v>0</v>
      </c>
      <c r="Q207" s="21"/>
      <c r="R207" s="21"/>
      <c r="S207" s="21"/>
      <c r="T207" s="21"/>
      <c r="U207" s="21"/>
      <c r="V207" s="21"/>
      <c r="W207" s="21"/>
      <c r="X207" s="21"/>
      <c r="Y207" s="21"/>
      <c r="Z207" s="21"/>
    </row>
    <row r="208" spans="1:26">
      <c r="A208" s="43">
        <v>201</v>
      </c>
      <c r="B208" s="44" t="str">
        <f t="shared" si="46"/>
        <v>17-й год 9-й мес</v>
      </c>
      <c r="C208" s="45">
        <f t="shared" si="52"/>
        <v>47309</v>
      </c>
      <c r="D208" s="46">
        <f t="shared" si="42"/>
        <v>0</v>
      </c>
      <c r="E208" s="47">
        <f t="shared" si="47"/>
        <v>0</v>
      </c>
      <c r="F208" s="47">
        <f t="shared" si="53"/>
        <v>0</v>
      </c>
      <c r="G208" s="48">
        <f t="shared" si="48"/>
        <v>0</v>
      </c>
      <c r="H208" s="49">
        <f t="shared" si="43"/>
        <v>0</v>
      </c>
      <c r="I208" s="47">
        <f t="shared" si="54"/>
        <v>0</v>
      </c>
      <c r="J208" s="47">
        <f t="shared" si="49"/>
        <v>0</v>
      </c>
      <c r="K208" s="50">
        <f t="shared" si="50"/>
        <v>0</v>
      </c>
      <c r="L208" s="63"/>
      <c r="M208" s="67"/>
      <c r="N208" s="51">
        <f t="shared" si="44"/>
        <v>7</v>
      </c>
      <c r="O208" s="19">
        <f t="shared" si="51"/>
        <v>10</v>
      </c>
      <c r="P208" s="20">
        <f t="shared" si="45"/>
        <v>0</v>
      </c>
      <c r="Q208" s="21"/>
      <c r="R208" s="21"/>
      <c r="S208" s="21"/>
      <c r="T208" s="21"/>
      <c r="U208" s="21"/>
      <c r="V208" s="21"/>
      <c r="W208" s="21"/>
      <c r="X208" s="21"/>
      <c r="Y208" s="21"/>
      <c r="Z208" s="21"/>
    </row>
    <row r="209" spans="1:26">
      <c r="A209" s="43">
        <v>202</v>
      </c>
      <c r="B209" s="44" t="str">
        <f t="shared" si="46"/>
        <v>17-й год 10-й мес</v>
      </c>
      <c r="C209" s="45">
        <f t="shared" si="52"/>
        <v>47340</v>
      </c>
      <c r="D209" s="46">
        <f t="shared" si="42"/>
        <v>0</v>
      </c>
      <c r="E209" s="47">
        <f t="shared" si="47"/>
        <v>0</v>
      </c>
      <c r="F209" s="47">
        <f t="shared" si="53"/>
        <v>0</v>
      </c>
      <c r="G209" s="48">
        <f t="shared" si="48"/>
        <v>0</v>
      </c>
      <c r="H209" s="49">
        <f t="shared" si="43"/>
        <v>0</v>
      </c>
      <c r="I209" s="47">
        <f t="shared" si="54"/>
        <v>0</v>
      </c>
      <c r="J209" s="47">
        <f t="shared" si="49"/>
        <v>0</v>
      </c>
      <c r="K209" s="50">
        <f t="shared" si="50"/>
        <v>0</v>
      </c>
      <c r="L209" s="63"/>
      <c r="M209" s="67"/>
      <c r="N209" s="51">
        <f t="shared" si="44"/>
        <v>7</v>
      </c>
      <c r="O209" s="19">
        <f t="shared" si="51"/>
        <v>10</v>
      </c>
      <c r="P209" s="20">
        <f t="shared" si="45"/>
        <v>0</v>
      </c>
      <c r="Q209" s="21"/>
      <c r="R209" s="21"/>
      <c r="S209" s="21"/>
      <c r="T209" s="21"/>
      <c r="U209" s="21"/>
      <c r="V209" s="21"/>
      <c r="W209" s="21"/>
      <c r="X209" s="21"/>
      <c r="Y209" s="21"/>
      <c r="Z209" s="21"/>
    </row>
    <row r="210" spans="1:26">
      <c r="A210" s="43">
        <v>203</v>
      </c>
      <c r="B210" s="44" t="str">
        <f t="shared" si="46"/>
        <v>17-й год 11-й мес</v>
      </c>
      <c r="C210" s="45">
        <f t="shared" si="52"/>
        <v>47371</v>
      </c>
      <c r="D210" s="46">
        <f t="shared" si="42"/>
        <v>0</v>
      </c>
      <c r="E210" s="47">
        <f t="shared" si="47"/>
        <v>0</v>
      </c>
      <c r="F210" s="47">
        <f t="shared" si="53"/>
        <v>0</v>
      </c>
      <c r="G210" s="48">
        <f t="shared" si="48"/>
        <v>0</v>
      </c>
      <c r="H210" s="49">
        <f t="shared" si="43"/>
        <v>0</v>
      </c>
      <c r="I210" s="47">
        <f t="shared" si="54"/>
        <v>0</v>
      </c>
      <c r="J210" s="47">
        <f t="shared" si="49"/>
        <v>0</v>
      </c>
      <c r="K210" s="50">
        <f t="shared" si="50"/>
        <v>0</v>
      </c>
      <c r="L210" s="63"/>
      <c r="M210" s="67"/>
      <c r="N210" s="51">
        <f t="shared" si="44"/>
        <v>7</v>
      </c>
      <c r="O210" s="19">
        <f t="shared" si="51"/>
        <v>10</v>
      </c>
      <c r="P210" s="20">
        <f t="shared" si="45"/>
        <v>0</v>
      </c>
      <c r="Q210" s="21"/>
      <c r="R210" s="21"/>
      <c r="S210" s="21"/>
      <c r="T210" s="21"/>
      <c r="U210" s="21"/>
      <c r="V210" s="21"/>
      <c r="W210" s="21"/>
      <c r="X210" s="21"/>
      <c r="Y210" s="21"/>
      <c r="Z210" s="21"/>
    </row>
    <row r="211" spans="1:26">
      <c r="A211" s="43">
        <v>204</v>
      </c>
      <c r="B211" s="44" t="str">
        <f t="shared" si="46"/>
        <v>17-й год 12-й мес</v>
      </c>
      <c r="C211" s="45">
        <f t="shared" si="52"/>
        <v>47401</v>
      </c>
      <c r="D211" s="46">
        <f t="shared" si="42"/>
        <v>0</v>
      </c>
      <c r="E211" s="47">
        <f t="shared" si="47"/>
        <v>0</v>
      </c>
      <c r="F211" s="47">
        <f t="shared" si="53"/>
        <v>0</v>
      </c>
      <c r="G211" s="48">
        <f t="shared" si="48"/>
        <v>0</v>
      </c>
      <c r="H211" s="49">
        <f t="shared" si="43"/>
        <v>0</v>
      </c>
      <c r="I211" s="47">
        <f t="shared" si="54"/>
        <v>0</v>
      </c>
      <c r="J211" s="47">
        <f t="shared" si="49"/>
        <v>0</v>
      </c>
      <c r="K211" s="50">
        <f t="shared" si="50"/>
        <v>0</v>
      </c>
      <c r="L211" s="63"/>
      <c r="M211" s="67"/>
      <c r="N211" s="51">
        <f t="shared" si="44"/>
        <v>7</v>
      </c>
      <c r="O211" s="19">
        <f t="shared" si="51"/>
        <v>10</v>
      </c>
      <c r="P211" s="20">
        <f t="shared" si="45"/>
        <v>0</v>
      </c>
      <c r="Q211" s="21"/>
      <c r="R211" s="21"/>
      <c r="S211" s="21"/>
      <c r="T211" s="21"/>
      <c r="U211" s="21"/>
      <c r="V211" s="21"/>
      <c r="W211" s="21"/>
      <c r="X211" s="21"/>
      <c r="Y211" s="21"/>
      <c r="Z211" s="21"/>
    </row>
    <row r="212" spans="1:26">
      <c r="A212" s="52">
        <v>205</v>
      </c>
      <c r="B212" s="44" t="str">
        <f t="shared" si="46"/>
        <v>18-й год 1-й мес</v>
      </c>
      <c r="C212" s="45">
        <f t="shared" si="52"/>
        <v>47432</v>
      </c>
      <c r="D212" s="46">
        <f t="shared" si="42"/>
        <v>0</v>
      </c>
      <c r="E212" s="53">
        <f t="shared" si="47"/>
        <v>0</v>
      </c>
      <c r="F212" s="47">
        <f t="shared" si="53"/>
        <v>0</v>
      </c>
      <c r="G212" s="54">
        <f t="shared" si="48"/>
        <v>0</v>
      </c>
      <c r="H212" s="55">
        <f t="shared" si="43"/>
        <v>0</v>
      </c>
      <c r="I212" s="53">
        <f t="shared" si="54"/>
        <v>0</v>
      </c>
      <c r="J212" s="53">
        <f t="shared" si="49"/>
        <v>0</v>
      </c>
      <c r="K212" s="56">
        <f t="shared" si="50"/>
        <v>0</v>
      </c>
      <c r="L212" s="65"/>
      <c r="M212" s="64"/>
      <c r="N212" s="51">
        <f t="shared" si="44"/>
        <v>7</v>
      </c>
      <c r="O212" s="19">
        <f t="shared" si="51"/>
        <v>10</v>
      </c>
      <c r="P212" s="20">
        <f t="shared" si="45"/>
        <v>0</v>
      </c>
      <c r="Q212" s="21"/>
      <c r="R212" s="21"/>
      <c r="S212" s="21"/>
      <c r="T212" s="21"/>
      <c r="U212" s="21"/>
      <c r="V212" s="21"/>
      <c r="W212" s="21"/>
      <c r="X212" s="21"/>
      <c r="Y212" s="21"/>
      <c r="Z212" s="21"/>
    </row>
    <row r="213" spans="1:26">
      <c r="A213" s="57">
        <v>206</v>
      </c>
      <c r="B213" s="44" t="str">
        <f t="shared" si="46"/>
        <v>18-й год 2-й мес</v>
      </c>
      <c r="C213" s="45">
        <f t="shared" si="52"/>
        <v>47462</v>
      </c>
      <c r="D213" s="46">
        <f t="shared" si="42"/>
        <v>0</v>
      </c>
      <c r="E213" s="47">
        <f t="shared" si="47"/>
        <v>0</v>
      </c>
      <c r="F213" s="47">
        <f t="shared" si="53"/>
        <v>0</v>
      </c>
      <c r="G213" s="48">
        <f t="shared" si="48"/>
        <v>0</v>
      </c>
      <c r="H213" s="49">
        <f t="shared" si="43"/>
        <v>0</v>
      </c>
      <c r="I213" s="47">
        <f t="shared" si="54"/>
        <v>0</v>
      </c>
      <c r="J213" s="47">
        <f t="shared" si="49"/>
        <v>0</v>
      </c>
      <c r="K213" s="50">
        <f t="shared" si="50"/>
        <v>0</v>
      </c>
      <c r="L213" s="63"/>
      <c r="M213" s="67"/>
      <c r="N213" s="51">
        <f t="shared" si="44"/>
        <v>7</v>
      </c>
      <c r="O213" s="19">
        <f t="shared" si="51"/>
        <v>10</v>
      </c>
      <c r="P213" s="20">
        <f t="shared" si="45"/>
        <v>0</v>
      </c>
      <c r="Q213" s="21"/>
      <c r="R213" s="21"/>
      <c r="S213" s="21"/>
      <c r="T213" s="21"/>
      <c r="U213" s="21"/>
      <c r="V213" s="21"/>
      <c r="W213" s="21"/>
      <c r="X213" s="21"/>
      <c r="Y213" s="21"/>
      <c r="Z213" s="21"/>
    </row>
    <row r="214" spans="1:26">
      <c r="A214" s="57">
        <v>207</v>
      </c>
      <c r="B214" s="44" t="str">
        <f t="shared" si="46"/>
        <v>18-й год 3-й мес</v>
      </c>
      <c r="C214" s="45">
        <f t="shared" si="52"/>
        <v>47493</v>
      </c>
      <c r="D214" s="46">
        <f t="shared" si="42"/>
        <v>0</v>
      </c>
      <c r="E214" s="47">
        <f t="shared" si="47"/>
        <v>0</v>
      </c>
      <c r="F214" s="47">
        <f t="shared" si="53"/>
        <v>0</v>
      </c>
      <c r="G214" s="48">
        <f t="shared" si="48"/>
        <v>0</v>
      </c>
      <c r="H214" s="49">
        <f t="shared" si="43"/>
        <v>0</v>
      </c>
      <c r="I214" s="47">
        <f t="shared" si="54"/>
        <v>0</v>
      </c>
      <c r="J214" s="47">
        <f t="shared" si="49"/>
        <v>0</v>
      </c>
      <c r="K214" s="50">
        <f t="shared" si="50"/>
        <v>0</v>
      </c>
      <c r="L214" s="63"/>
      <c r="M214" s="67"/>
      <c r="N214" s="51">
        <f t="shared" si="44"/>
        <v>7</v>
      </c>
      <c r="O214" s="19">
        <f t="shared" si="51"/>
        <v>10</v>
      </c>
      <c r="P214" s="20">
        <f t="shared" si="45"/>
        <v>0</v>
      </c>
      <c r="Q214" s="21"/>
      <c r="R214" s="21"/>
      <c r="S214" s="21"/>
      <c r="T214" s="21"/>
      <c r="U214" s="21"/>
      <c r="V214" s="21"/>
      <c r="W214" s="21"/>
      <c r="X214" s="21"/>
      <c r="Y214" s="21"/>
      <c r="Z214" s="21"/>
    </row>
    <row r="215" spans="1:26">
      <c r="A215" s="57">
        <v>208</v>
      </c>
      <c r="B215" s="44" t="str">
        <f t="shared" si="46"/>
        <v>18-й год 4-й мес</v>
      </c>
      <c r="C215" s="45">
        <f t="shared" si="52"/>
        <v>47524</v>
      </c>
      <c r="D215" s="46">
        <f t="shared" si="42"/>
        <v>0</v>
      </c>
      <c r="E215" s="47">
        <f t="shared" si="47"/>
        <v>0</v>
      </c>
      <c r="F215" s="47">
        <f t="shared" si="53"/>
        <v>0</v>
      </c>
      <c r="G215" s="48">
        <f t="shared" si="48"/>
        <v>0</v>
      </c>
      <c r="H215" s="49">
        <f t="shared" si="43"/>
        <v>0</v>
      </c>
      <c r="I215" s="47">
        <f t="shared" si="54"/>
        <v>0</v>
      </c>
      <c r="J215" s="47">
        <f t="shared" si="49"/>
        <v>0</v>
      </c>
      <c r="K215" s="50">
        <f t="shared" si="50"/>
        <v>0</v>
      </c>
      <c r="L215" s="63"/>
      <c r="M215" s="67"/>
      <c r="N215" s="51">
        <f t="shared" si="44"/>
        <v>7</v>
      </c>
      <c r="O215" s="19">
        <f t="shared" si="51"/>
        <v>10</v>
      </c>
      <c r="P215" s="20">
        <f t="shared" si="45"/>
        <v>0</v>
      </c>
      <c r="Q215" s="21"/>
      <c r="R215" s="21"/>
      <c r="S215" s="21"/>
      <c r="T215" s="21"/>
      <c r="U215" s="21"/>
      <c r="V215" s="21"/>
      <c r="W215" s="21"/>
      <c r="X215" s="21"/>
      <c r="Y215" s="21"/>
      <c r="Z215" s="21"/>
    </row>
    <row r="216" spans="1:26">
      <c r="A216" s="57">
        <v>209</v>
      </c>
      <c r="B216" s="44" t="str">
        <f t="shared" si="46"/>
        <v>18-й год 5-й мес</v>
      </c>
      <c r="C216" s="45">
        <f t="shared" si="52"/>
        <v>47552</v>
      </c>
      <c r="D216" s="46">
        <f t="shared" si="42"/>
        <v>0</v>
      </c>
      <c r="E216" s="47">
        <f t="shared" si="47"/>
        <v>0</v>
      </c>
      <c r="F216" s="47">
        <f t="shared" si="53"/>
        <v>0</v>
      </c>
      <c r="G216" s="48">
        <f t="shared" si="48"/>
        <v>0</v>
      </c>
      <c r="H216" s="49">
        <f t="shared" si="43"/>
        <v>0</v>
      </c>
      <c r="I216" s="47">
        <f t="shared" si="54"/>
        <v>0</v>
      </c>
      <c r="J216" s="47">
        <f t="shared" si="49"/>
        <v>0</v>
      </c>
      <c r="K216" s="50">
        <f t="shared" si="50"/>
        <v>0</v>
      </c>
      <c r="L216" s="63"/>
      <c r="M216" s="67"/>
      <c r="N216" s="51">
        <f t="shared" si="44"/>
        <v>7</v>
      </c>
      <c r="O216" s="19">
        <f t="shared" si="51"/>
        <v>10</v>
      </c>
      <c r="P216" s="20">
        <f t="shared" si="45"/>
        <v>0</v>
      </c>
      <c r="Q216" s="21"/>
      <c r="R216" s="21"/>
      <c r="S216" s="21"/>
      <c r="T216" s="21"/>
      <c r="U216" s="21"/>
      <c r="V216" s="21"/>
      <c r="W216" s="21"/>
      <c r="X216" s="21"/>
      <c r="Y216" s="21"/>
      <c r="Z216" s="21"/>
    </row>
    <row r="217" spans="1:26">
      <c r="A217" s="57">
        <v>210</v>
      </c>
      <c r="B217" s="44" t="str">
        <f t="shared" si="46"/>
        <v>18-й год 6-й мес</v>
      </c>
      <c r="C217" s="45">
        <f t="shared" si="52"/>
        <v>47583</v>
      </c>
      <c r="D217" s="46">
        <f t="shared" si="42"/>
        <v>0</v>
      </c>
      <c r="E217" s="47">
        <f t="shared" si="47"/>
        <v>0</v>
      </c>
      <c r="F217" s="47">
        <f t="shared" si="53"/>
        <v>0</v>
      </c>
      <c r="G217" s="48">
        <f t="shared" si="48"/>
        <v>0</v>
      </c>
      <c r="H217" s="49">
        <f t="shared" si="43"/>
        <v>0</v>
      </c>
      <c r="I217" s="47">
        <f t="shared" si="54"/>
        <v>0</v>
      </c>
      <c r="J217" s="47">
        <f t="shared" si="49"/>
        <v>0</v>
      </c>
      <c r="K217" s="50">
        <f t="shared" si="50"/>
        <v>0</v>
      </c>
      <c r="L217" s="63"/>
      <c r="M217" s="67"/>
      <c r="N217" s="51">
        <f t="shared" si="44"/>
        <v>7</v>
      </c>
      <c r="O217" s="19">
        <f t="shared" si="51"/>
        <v>10</v>
      </c>
      <c r="P217" s="20">
        <f t="shared" si="45"/>
        <v>0</v>
      </c>
      <c r="Q217" s="21"/>
      <c r="R217" s="21"/>
      <c r="S217" s="21"/>
      <c r="T217" s="21"/>
      <c r="U217" s="21"/>
      <c r="V217" s="21"/>
      <c r="W217" s="21"/>
      <c r="X217" s="21"/>
      <c r="Y217" s="21"/>
      <c r="Z217" s="21"/>
    </row>
    <row r="218" spans="1:26">
      <c r="A218" s="57">
        <v>211</v>
      </c>
      <c r="B218" s="44" t="str">
        <f t="shared" si="46"/>
        <v>18-й год 7-й мес</v>
      </c>
      <c r="C218" s="45">
        <f t="shared" si="52"/>
        <v>47613</v>
      </c>
      <c r="D218" s="46">
        <f t="shared" si="42"/>
        <v>0</v>
      </c>
      <c r="E218" s="47">
        <f t="shared" si="47"/>
        <v>0</v>
      </c>
      <c r="F218" s="47">
        <f t="shared" si="53"/>
        <v>0</v>
      </c>
      <c r="G218" s="48">
        <f t="shared" si="48"/>
        <v>0</v>
      </c>
      <c r="H218" s="49">
        <f t="shared" si="43"/>
        <v>0</v>
      </c>
      <c r="I218" s="47">
        <f t="shared" si="54"/>
        <v>0</v>
      </c>
      <c r="J218" s="47">
        <f t="shared" si="49"/>
        <v>0</v>
      </c>
      <c r="K218" s="50">
        <f t="shared" si="50"/>
        <v>0</v>
      </c>
      <c r="L218" s="63"/>
      <c r="M218" s="67"/>
      <c r="N218" s="51">
        <f t="shared" si="44"/>
        <v>7</v>
      </c>
      <c r="O218" s="19">
        <f t="shared" si="51"/>
        <v>10</v>
      </c>
      <c r="P218" s="20">
        <f t="shared" si="45"/>
        <v>0</v>
      </c>
      <c r="Q218" s="21"/>
      <c r="R218" s="21"/>
      <c r="S218" s="21"/>
      <c r="T218" s="21"/>
      <c r="U218" s="21"/>
      <c r="V218" s="21"/>
      <c r="W218" s="21"/>
      <c r="X218" s="21"/>
      <c r="Y218" s="21"/>
      <c r="Z218" s="21"/>
    </row>
    <row r="219" spans="1:26">
      <c r="A219" s="57">
        <v>212</v>
      </c>
      <c r="B219" s="44" t="str">
        <f t="shared" si="46"/>
        <v>18-й год 8-й мес</v>
      </c>
      <c r="C219" s="45">
        <f t="shared" si="52"/>
        <v>47644</v>
      </c>
      <c r="D219" s="46">
        <f t="shared" si="42"/>
        <v>0</v>
      </c>
      <c r="E219" s="47">
        <f t="shared" si="47"/>
        <v>0</v>
      </c>
      <c r="F219" s="47">
        <f t="shared" si="53"/>
        <v>0</v>
      </c>
      <c r="G219" s="48">
        <f t="shared" si="48"/>
        <v>0</v>
      </c>
      <c r="H219" s="49">
        <f t="shared" si="43"/>
        <v>0</v>
      </c>
      <c r="I219" s="47">
        <f t="shared" si="54"/>
        <v>0</v>
      </c>
      <c r="J219" s="47">
        <f t="shared" si="49"/>
        <v>0</v>
      </c>
      <c r="K219" s="50">
        <f t="shared" si="50"/>
        <v>0</v>
      </c>
      <c r="L219" s="63"/>
      <c r="M219" s="67"/>
      <c r="N219" s="51">
        <f t="shared" si="44"/>
        <v>7</v>
      </c>
      <c r="O219" s="19">
        <f t="shared" si="51"/>
        <v>10</v>
      </c>
      <c r="P219" s="20">
        <f t="shared" si="45"/>
        <v>0</v>
      </c>
      <c r="Q219" s="21"/>
      <c r="R219" s="21"/>
      <c r="S219" s="21"/>
      <c r="T219" s="21"/>
      <c r="U219" s="21"/>
      <c r="V219" s="21"/>
      <c r="W219" s="21"/>
      <c r="X219" s="21"/>
      <c r="Y219" s="21"/>
      <c r="Z219" s="21"/>
    </row>
    <row r="220" spans="1:26">
      <c r="A220" s="57">
        <v>213</v>
      </c>
      <c r="B220" s="44" t="str">
        <f t="shared" si="46"/>
        <v>18-й год 9-й мес</v>
      </c>
      <c r="C220" s="45">
        <f t="shared" si="52"/>
        <v>47674</v>
      </c>
      <c r="D220" s="46">
        <f t="shared" si="42"/>
        <v>0</v>
      </c>
      <c r="E220" s="47">
        <f t="shared" si="47"/>
        <v>0</v>
      </c>
      <c r="F220" s="47">
        <f t="shared" si="53"/>
        <v>0</v>
      </c>
      <c r="G220" s="48">
        <f t="shared" si="48"/>
        <v>0</v>
      </c>
      <c r="H220" s="49">
        <f t="shared" si="43"/>
        <v>0</v>
      </c>
      <c r="I220" s="47">
        <f t="shared" si="54"/>
        <v>0</v>
      </c>
      <c r="J220" s="47">
        <f t="shared" si="49"/>
        <v>0</v>
      </c>
      <c r="K220" s="50">
        <f t="shared" si="50"/>
        <v>0</v>
      </c>
      <c r="L220" s="63"/>
      <c r="M220" s="67"/>
      <c r="N220" s="51">
        <f t="shared" si="44"/>
        <v>7</v>
      </c>
      <c r="O220" s="19">
        <f t="shared" si="51"/>
        <v>10</v>
      </c>
      <c r="P220" s="20">
        <f t="shared" si="45"/>
        <v>0</v>
      </c>
      <c r="Q220" s="21"/>
      <c r="R220" s="21"/>
      <c r="S220" s="21"/>
      <c r="T220" s="21"/>
      <c r="U220" s="21"/>
      <c r="V220" s="21"/>
      <c r="W220" s="21"/>
      <c r="X220" s="21"/>
      <c r="Y220" s="21"/>
      <c r="Z220" s="21"/>
    </row>
    <row r="221" spans="1:26">
      <c r="A221" s="57">
        <v>214</v>
      </c>
      <c r="B221" s="44" t="str">
        <f t="shared" si="46"/>
        <v>18-й год 10-й мес</v>
      </c>
      <c r="C221" s="45">
        <f t="shared" si="52"/>
        <v>47705</v>
      </c>
      <c r="D221" s="46">
        <f t="shared" si="42"/>
        <v>0</v>
      </c>
      <c r="E221" s="47">
        <f t="shared" si="47"/>
        <v>0</v>
      </c>
      <c r="F221" s="47">
        <f t="shared" si="53"/>
        <v>0</v>
      </c>
      <c r="G221" s="48">
        <f t="shared" si="48"/>
        <v>0</v>
      </c>
      <c r="H221" s="49">
        <f t="shared" si="43"/>
        <v>0</v>
      </c>
      <c r="I221" s="47">
        <f t="shared" si="54"/>
        <v>0</v>
      </c>
      <c r="J221" s="47">
        <f t="shared" si="49"/>
        <v>0</v>
      </c>
      <c r="K221" s="50">
        <f t="shared" si="50"/>
        <v>0</v>
      </c>
      <c r="L221" s="63"/>
      <c r="M221" s="67"/>
      <c r="N221" s="51">
        <f t="shared" si="44"/>
        <v>7</v>
      </c>
      <c r="O221" s="19">
        <f t="shared" si="51"/>
        <v>10</v>
      </c>
      <c r="P221" s="20">
        <f t="shared" si="45"/>
        <v>0</v>
      </c>
      <c r="Q221" s="21"/>
      <c r="R221" s="21"/>
      <c r="S221" s="21"/>
      <c r="T221" s="21"/>
      <c r="U221" s="21"/>
      <c r="V221" s="21"/>
      <c r="W221" s="21"/>
      <c r="X221" s="21"/>
      <c r="Y221" s="21"/>
      <c r="Z221" s="21"/>
    </row>
    <row r="222" spans="1:26">
      <c r="A222" s="57">
        <v>215</v>
      </c>
      <c r="B222" s="44" t="str">
        <f t="shared" si="46"/>
        <v>18-й год 11-й мес</v>
      </c>
      <c r="C222" s="45">
        <f t="shared" si="52"/>
        <v>47736</v>
      </c>
      <c r="D222" s="46">
        <f t="shared" si="42"/>
        <v>0</v>
      </c>
      <c r="E222" s="47">
        <f t="shared" si="47"/>
        <v>0</v>
      </c>
      <c r="F222" s="47">
        <f t="shared" si="53"/>
        <v>0</v>
      </c>
      <c r="G222" s="48">
        <f t="shared" si="48"/>
        <v>0</v>
      </c>
      <c r="H222" s="49">
        <f t="shared" si="43"/>
        <v>0</v>
      </c>
      <c r="I222" s="47">
        <f t="shared" si="54"/>
        <v>0</v>
      </c>
      <c r="J222" s="47">
        <f t="shared" si="49"/>
        <v>0</v>
      </c>
      <c r="K222" s="50">
        <f t="shared" si="50"/>
        <v>0</v>
      </c>
      <c r="L222" s="63"/>
      <c r="M222" s="67"/>
      <c r="N222" s="51">
        <f t="shared" si="44"/>
        <v>7</v>
      </c>
      <c r="O222" s="19">
        <f t="shared" si="51"/>
        <v>10</v>
      </c>
      <c r="P222" s="20">
        <f t="shared" si="45"/>
        <v>0</v>
      </c>
      <c r="Q222" s="21"/>
      <c r="R222" s="21"/>
      <c r="S222" s="21"/>
      <c r="T222" s="21"/>
      <c r="U222" s="21"/>
      <c r="V222" s="21"/>
      <c r="W222" s="21"/>
      <c r="X222" s="21"/>
      <c r="Y222" s="21"/>
      <c r="Z222" s="21"/>
    </row>
    <row r="223" spans="1:26">
      <c r="A223" s="58">
        <v>216</v>
      </c>
      <c r="B223" s="44" t="str">
        <f t="shared" si="46"/>
        <v>18-й год 12-й мес</v>
      </c>
      <c r="C223" s="45">
        <f t="shared" si="52"/>
        <v>47766</v>
      </c>
      <c r="D223" s="46">
        <f t="shared" si="42"/>
        <v>0</v>
      </c>
      <c r="E223" s="59">
        <f t="shared" si="47"/>
        <v>0</v>
      </c>
      <c r="F223" s="47">
        <f t="shared" si="53"/>
        <v>0</v>
      </c>
      <c r="G223" s="60">
        <f t="shared" si="48"/>
        <v>0</v>
      </c>
      <c r="H223" s="61">
        <f t="shared" si="43"/>
        <v>0</v>
      </c>
      <c r="I223" s="59">
        <f t="shared" si="54"/>
        <v>0</v>
      </c>
      <c r="J223" s="59">
        <f t="shared" si="49"/>
        <v>0</v>
      </c>
      <c r="K223" s="62">
        <f t="shared" si="50"/>
        <v>0</v>
      </c>
      <c r="L223" s="66"/>
      <c r="M223" s="68"/>
      <c r="N223" s="51">
        <f t="shared" si="44"/>
        <v>7</v>
      </c>
      <c r="O223" s="19">
        <f t="shared" si="51"/>
        <v>10</v>
      </c>
      <c r="P223" s="20">
        <f t="shared" si="45"/>
        <v>0</v>
      </c>
      <c r="Q223" s="21"/>
      <c r="R223" s="21"/>
      <c r="S223" s="21"/>
      <c r="T223" s="21"/>
      <c r="U223" s="21"/>
      <c r="V223" s="21"/>
      <c r="W223" s="21"/>
      <c r="X223" s="21"/>
      <c r="Y223" s="21"/>
      <c r="Z223" s="21"/>
    </row>
    <row r="224" spans="1:26">
      <c r="A224" s="43">
        <v>217</v>
      </c>
      <c r="B224" s="44" t="str">
        <f t="shared" si="46"/>
        <v>19-й год 1-й мес</v>
      </c>
      <c r="C224" s="45">
        <f t="shared" si="52"/>
        <v>47797</v>
      </c>
      <c r="D224" s="46">
        <f t="shared" si="42"/>
        <v>0</v>
      </c>
      <c r="E224" s="47">
        <f t="shared" si="47"/>
        <v>0</v>
      </c>
      <c r="F224" s="47">
        <f t="shared" si="53"/>
        <v>0</v>
      </c>
      <c r="G224" s="48">
        <f t="shared" si="48"/>
        <v>0</v>
      </c>
      <c r="H224" s="49">
        <f t="shared" si="43"/>
        <v>0</v>
      </c>
      <c r="I224" s="47">
        <f t="shared" si="54"/>
        <v>0</v>
      </c>
      <c r="J224" s="47">
        <f t="shared" si="49"/>
        <v>0</v>
      </c>
      <c r="K224" s="50">
        <f t="shared" si="50"/>
        <v>0</v>
      </c>
      <c r="L224" s="63"/>
      <c r="M224" s="67"/>
      <c r="N224" s="51">
        <f t="shared" si="44"/>
        <v>7</v>
      </c>
      <c r="O224" s="19">
        <f t="shared" si="51"/>
        <v>10</v>
      </c>
      <c r="P224" s="20">
        <f t="shared" si="45"/>
        <v>0</v>
      </c>
      <c r="Q224" s="21"/>
      <c r="R224" s="21"/>
      <c r="S224" s="21"/>
      <c r="T224" s="21"/>
      <c r="U224" s="21"/>
      <c r="V224" s="21"/>
      <c r="W224" s="21"/>
      <c r="X224" s="21"/>
      <c r="Y224" s="21"/>
      <c r="Z224" s="21"/>
    </row>
    <row r="225" spans="1:26">
      <c r="A225" s="43">
        <v>218</v>
      </c>
      <c r="B225" s="44" t="str">
        <f t="shared" si="46"/>
        <v>19-й год 2-й мес</v>
      </c>
      <c r="C225" s="45">
        <f t="shared" si="52"/>
        <v>47827</v>
      </c>
      <c r="D225" s="46">
        <f t="shared" si="42"/>
        <v>0</v>
      </c>
      <c r="E225" s="47">
        <f t="shared" si="47"/>
        <v>0</v>
      </c>
      <c r="F225" s="47">
        <f t="shared" si="53"/>
        <v>0</v>
      </c>
      <c r="G225" s="48">
        <f t="shared" si="48"/>
        <v>0</v>
      </c>
      <c r="H225" s="49">
        <f t="shared" si="43"/>
        <v>0</v>
      </c>
      <c r="I225" s="47">
        <f t="shared" si="54"/>
        <v>0</v>
      </c>
      <c r="J225" s="47">
        <f t="shared" si="49"/>
        <v>0</v>
      </c>
      <c r="K225" s="50">
        <f t="shared" si="50"/>
        <v>0</v>
      </c>
      <c r="L225" s="63"/>
      <c r="M225" s="67"/>
      <c r="N225" s="51">
        <f t="shared" si="44"/>
        <v>7</v>
      </c>
      <c r="O225" s="19">
        <f t="shared" si="51"/>
        <v>10</v>
      </c>
      <c r="P225" s="20">
        <f t="shared" si="45"/>
        <v>0</v>
      </c>
      <c r="Q225" s="21"/>
      <c r="R225" s="21"/>
      <c r="S225" s="21"/>
      <c r="T225" s="21"/>
      <c r="U225" s="21"/>
      <c r="V225" s="21"/>
      <c r="W225" s="21"/>
      <c r="X225" s="21"/>
      <c r="Y225" s="21"/>
      <c r="Z225" s="21"/>
    </row>
    <row r="226" spans="1:26">
      <c r="A226" s="43">
        <v>219</v>
      </c>
      <c r="B226" s="44" t="str">
        <f t="shared" si="46"/>
        <v>19-й год 3-й мес</v>
      </c>
      <c r="C226" s="45">
        <f t="shared" si="52"/>
        <v>47858</v>
      </c>
      <c r="D226" s="46">
        <f t="shared" si="42"/>
        <v>0</v>
      </c>
      <c r="E226" s="47">
        <f t="shared" si="47"/>
        <v>0</v>
      </c>
      <c r="F226" s="47">
        <f t="shared" si="53"/>
        <v>0</v>
      </c>
      <c r="G226" s="48">
        <f t="shared" si="48"/>
        <v>0</v>
      </c>
      <c r="H226" s="49">
        <f t="shared" si="43"/>
        <v>0</v>
      </c>
      <c r="I226" s="47">
        <f t="shared" si="54"/>
        <v>0</v>
      </c>
      <c r="J226" s="47">
        <f t="shared" si="49"/>
        <v>0</v>
      </c>
      <c r="K226" s="50">
        <f t="shared" si="50"/>
        <v>0</v>
      </c>
      <c r="L226" s="63"/>
      <c r="M226" s="67"/>
      <c r="N226" s="51">
        <f t="shared" si="44"/>
        <v>7</v>
      </c>
      <c r="O226" s="19">
        <f t="shared" si="51"/>
        <v>10</v>
      </c>
      <c r="P226" s="20">
        <f t="shared" si="45"/>
        <v>0</v>
      </c>
      <c r="Q226" s="21"/>
      <c r="R226" s="21"/>
      <c r="S226" s="21"/>
      <c r="T226" s="21"/>
      <c r="U226" s="21"/>
      <c r="V226" s="21"/>
      <c r="W226" s="21"/>
      <c r="X226" s="21"/>
      <c r="Y226" s="21"/>
      <c r="Z226" s="21"/>
    </row>
    <row r="227" spans="1:26">
      <c r="A227" s="43">
        <v>220</v>
      </c>
      <c r="B227" s="44" t="str">
        <f t="shared" si="46"/>
        <v>19-й год 4-й мес</v>
      </c>
      <c r="C227" s="45">
        <f t="shared" si="52"/>
        <v>47889</v>
      </c>
      <c r="D227" s="46">
        <f t="shared" si="42"/>
        <v>0</v>
      </c>
      <c r="E227" s="47">
        <f t="shared" si="47"/>
        <v>0</v>
      </c>
      <c r="F227" s="47">
        <f t="shared" si="53"/>
        <v>0</v>
      </c>
      <c r="G227" s="48">
        <f t="shared" si="48"/>
        <v>0</v>
      </c>
      <c r="H227" s="49">
        <f t="shared" si="43"/>
        <v>0</v>
      </c>
      <c r="I227" s="47">
        <f t="shared" si="54"/>
        <v>0</v>
      </c>
      <c r="J227" s="47">
        <f t="shared" si="49"/>
        <v>0</v>
      </c>
      <c r="K227" s="50">
        <f t="shared" si="50"/>
        <v>0</v>
      </c>
      <c r="L227" s="63"/>
      <c r="M227" s="67"/>
      <c r="N227" s="51">
        <f t="shared" si="44"/>
        <v>7</v>
      </c>
      <c r="O227" s="19">
        <f t="shared" si="51"/>
        <v>10</v>
      </c>
      <c r="P227" s="20">
        <f t="shared" si="45"/>
        <v>0</v>
      </c>
      <c r="Q227" s="21"/>
      <c r="R227" s="21"/>
      <c r="S227" s="21"/>
      <c r="T227" s="21"/>
      <c r="U227" s="21"/>
      <c r="V227" s="21"/>
      <c r="W227" s="21"/>
      <c r="X227" s="21"/>
      <c r="Y227" s="21"/>
      <c r="Z227" s="21"/>
    </row>
    <row r="228" spans="1:26">
      <c r="A228" s="43">
        <v>221</v>
      </c>
      <c r="B228" s="44" t="str">
        <f t="shared" si="46"/>
        <v>19-й год 5-й мес</v>
      </c>
      <c r="C228" s="45">
        <f t="shared" si="52"/>
        <v>47917</v>
      </c>
      <c r="D228" s="46">
        <f t="shared" si="42"/>
        <v>0</v>
      </c>
      <c r="E228" s="47">
        <f t="shared" si="47"/>
        <v>0</v>
      </c>
      <c r="F228" s="47">
        <f t="shared" si="53"/>
        <v>0</v>
      </c>
      <c r="G228" s="48">
        <f t="shared" si="48"/>
        <v>0</v>
      </c>
      <c r="H228" s="49">
        <f t="shared" si="43"/>
        <v>0</v>
      </c>
      <c r="I228" s="47">
        <f t="shared" si="54"/>
        <v>0</v>
      </c>
      <c r="J228" s="47">
        <f t="shared" si="49"/>
        <v>0</v>
      </c>
      <c r="K228" s="50">
        <f t="shared" si="50"/>
        <v>0</v>
      </c>
      <c r="L228" s="63"/>
      <c r="M228" s="67"/>
      <c r="N228" s="51">
        <f t="shared" si="44"/>
        <v>7</v>
      </c>
      <c r="O228" s="19">
        <f t="shared" si="51"/>
        <v>10</v>
      </c>
      <c r="P228" s="20">
        <f t="shared" si="45"/>
        <v>0</v>
      </c>
      <c r="Q228" s="21"/>
      <c r="R228" s="21"/>
      <c r="S228" s="21"/>
      <c r="T228" s="21"/>
      <c r="U228" s="21"/>
      <c r="V228" s="21"/>
      <c r="W228" s="21"/>
      <c r="X228" s="21"/>
      <c r="Y228" s="21"/>
      <c r="Z228" s="21"/>
    </row>
    <row r="229" spans="1:26">
      <c r="A229" s="43">
        <v>222</v>
      </c>
      <c r="B229" s="44" t="str">
        <f t="shared" si="46"/>
        <v>19-й год 6-й мес</v>
      </c>
      <c r="C229" s="45">
        <f t="shared" si="52"/>
        <v>47948</v>
      </c>
      <c r="D229" s="46">
        <f t="shared" si="42"/>
        <v>0</v>
      </c>
      <c r="E229" s="47">
        <f t="shared" si="47"/>
        <v>0</v>
      </c>
      <c r="F229" s="47">
        <f t="shared" si="53"/>
        <v>0</v>
      </c>
      <c r="G229" s="48">
        <f t="shared" si="48"/>
        <v>0</v>
      </c>
      <c r="H229" s="49">
        <f t="shared" si="43"/>
        <v>0</v>
      </c>
      <c r="I229" s="47">
        <f t="shared" si="54"/>
        <v>0</v>
      </c>
      <c r="J229" s="47">
        <f t="shared" si="49"/>
        <v>0</v>
      </c>
      <c r="K229" s="50">
        <f t="shared" si="50"/>
        <v>0</v>
      </c>
      <c r="L229" s="63"/>
      <c r="M229" s="67"/>
      <c r="N229" s="51">
        <f t="shared" si="44"/>
        <v>7</v>
      </c>
      <c r="O229" s="19">
        <f t="shared" si="51"/>
        <v>10</v>
      </c>
      <c r="P229" s="20">
        <f t="shared" si="45"/>
        <v>0</v>
      </c>
      <c r="Q229" s="21"/>
      <c r="R229" s="21"/>
      <c r="S229" s="21"/>
      <c r="T229" s="21"/>
      <c r="U229" s="21"/>
      <c r="V229" s="21"/>
      <c r="W229" s="21"/>
      <c r="X229" s="21"/>
      <c r="Y229" s="21"/>
      <c r="Z229" s="21"/>
    </row>
    <row r="230" spans="1:26">
      <c r="A230" s="43">
        <v>223</v>
      </c>
      <c r="B230" s="44" t="str">
        <f t="shared" si="46"/>
        <v>19-й год 7-й мес</v>
      </c>
      <c r="C230" s="45">
        <f t="shared" si="52"/>
        <v>47978</v>
      </c>
      <c r="D230" s="46">
        <f t="shared" si="42"/>
        <v>0</v>
      </c>
      <c r="E230" s="47">
        <f t="shared" si="47"/>
        <v>0</v>
      </c>
      <c r="F230" s="47">
        <f t="shared" si="53"/>
        <v>0</v>
      </c>
      <c r="G230" s="48">
        <f t="shared" si="48"/>
        <v>0</v>
      </c>
      <c r="H230" s="49">
        <f t="shared" si="43"/>
        <v>0</v>
      </c>
      <c r="I230" s="47">
        <f t="shared" si="54"/>
        <v>0</v>
      </c>
      <c r="J230" s="47">
        <f t="shared" si="49"/>
        <v>0</v>
      </c>
      <c r="K230" s="50">
        <f t="shared" si="50"/>
        <v>0</v>
      </c>
      <c r="L230" s="63"/>
      <c r="M230" s="67"/>
      <c r="N230" s="51">
        <f t="shared" si="44"/>
        <v>7</v>
      </c>
      <c r="O230" s="19">
        <f t="shared" si="51"/>
        <v>10</v>
      </c>
      <c r="P230" s="20">
        <f t="shared" si="45"/>
        <v>0</v>
      </c>
      <c r="Q230" s="21"/>
      <c r="R230" s="21"/>
      <c r="S230" s="21"/>
      <c r="T230" s="21"/>
      <c r="U230" s="21"/>
      <c r="V230" s="21"/>
      <c r="W230" s="21"/>
      <c r="X230" s="21"/>
      <c r="Y230" s="21"/>
      <c r="Z230" s="21"/>
    </row>
    <row r="231" spans="1:26">
      <c r="A231" s="43">
        <v>224</v>
      </c>
      <c r="B231" s="44" t="str">
        <f t="shared" si="46"/>
        <v>19-й год 8-й мес</v>
      </c>
      <c r="C231" s="45">
        <f t="shared" si="52"/>
        <v>48009</v>
      </c>
      <c r="D231" s="46">
        <f t="shared" si="42"/>
        <v>0</v>
      </c>
      <c r="E231" s="47">
        <f t="shared" si="47"/>
        <v>0</v>
      </c>
      <c r="F231" s="47">
        <f t="shared" si="53"/>
        <v>0</v>
      </c>
      <c r="G231" s="48">
        <f t="shared" si="48"/>
        <v>0</v>
      </c>
      <c r="H231" s="49">
        <f t="shared" si="43"/>
        <v>0</v>
      </c>
      <c r="I231" s="47">
        <f t="shared" si="54"/>
        <v>0</v>
      </c>
      <c r="J231" s="47">
        <f t="shared" si="49"/>
        <v>0</v>
      </c>
      <c r="K231" s="50">
        <f t="shared" si="50"/>
        <v>0</v>
      </c>
      <c r="L231" s="63"/>
      <c r="M231" s="67"/>
      <c r="N231" s="51">
        <f t="shared" si="44"/>
        <v>7</v>
      </c>
      <c r="O231" s="19">
        <f t="shared" si="51"/>
        <v>10</v>
      </c>
      <c r="P231" s="20">
        <f t="shared" si="45"/>
        <v>0</v>
      </c>
      <c r="Q231" s="21"/>
      <c r="R231" s="21"/>
      <c r="S231" s="21"/>
      <c r="T231" s="21"/>
      <c r="U231" s="21"/>
      <c r="V231" s="21"/>
      <c r="W231" s="21"/>
      <c r="X231" s="21"/>
      <c r="Y231" s="21"/>
      <c r="Z231" s="21"/>
    </row>
    <row r="232" spans="1:26">
      <c r="A232" s="43">
        <v>225</v>
      </c>
      <c r="B232" s="44" t="str">
        <f t="shared" si="46"/>
        <v>19-й год 9-й мес</v>
      </c>
      <c r="C232" s="45">
        <f t="shared" si="52"/>
        <v>48039</v>
      </c>
      <c r="D232" s="46">
        <f t="shared" si="42"/>
        <v>0</v>
      </c>
      <c r="E232" s="47">
        <f t="shared" si="47"/>
        <v>0</v>
      </c>
      <c r="F232" s="47">
        <f t="shared" si="53"/>
        <v>0</v>
      </c>
      <c r="G232" s="48">
        <f t="shared" si="48"/>
        <v>0</v>
      </c>
      <c r="H232" s="49">
        <f t="shared" si="43"/>
        <v>0</v>
      </c>
      <c r="I232" s="47">
        <f t="shared" si="54"/>
        <v>0</v>
      </c>
      <c r="J232" s="47">
        <f t="shared" si="49"/>
        <v>0</v>
      </c>
      <c r="K232" s="50">
        <f t="shared" si="50"/>
        <v>0</v>
      </c>
      <c r="L232" s="63"/>
      <c r="M232" s="67"/>
      <c r="N232" s="51">
        <f t="shared" si="44"/>
        <v>7</v>
      </c>
      <c r="O232" s="19">
        <f t="shared" si="51"/>
        <v>10</v>
      </c>
      <c r="P232" s="20">
        <f t="shared" si="45"/>
        <v>0</v>
      </c>
      <c r="Q232" s="21"/>
      <c r="R232" s="21"/>
      <c r="S232" s="21"/>
      <c r="T232" s="21"/>
      <c r="U232" s="21"/>
      <c r="V232" s="21"/>
      <c r="W232" s="21"/>
      <c r="X232" s="21"/>
      <c r="Y232" s="21"/>
      <c r="Z232" s="21"/>
    </row>
    <row r="233" spans="1:26">
      <c r="A233" s="43">
        <v>226</v>
      </c>
      <c r="B233" s="44" t="str">
        <f t="shared" si="46"/>
        <v>19-й год 10-й мес</v>
      </c>
      <c r="C233" s="45">
        <f t="shared" si="52"/>
        <v>48070</v>
      </c>
      <c r="D233" s="46">
        <f t="shared" si="42"/>
        <v>0</v>
      </c>
      <c r="E233" s="47">
        <f t="shared" si="47"/>
        <v>0</v>
      </c>
      <c r="F233" s="47">
        <f t="shared" si="53"/>
        <v>0</v>
      </c>
      <c r="G233" s="48">
        <f t="shared" si="48"/>
        <v>0</v>
      </c>
      <c r="H233" s="49">
        <f t="shared" si="43"/>
        <v>0</v>
      </c>
      <c r="I233" s="47">
        <f t="shared" si="54"/>
        <v>0</v>
      </c>
      <c r="J233" s="47">
        <f t="shared" si="49"/>
        <v>0</v>
      </c>
      <c r="K233" s="50">
        <f t="shared" si="50"/>
        <v>0</v>
      </c>
      <c r="L233" s="63"/>
      <c r="M233" s="67"/>
      <c r="N233" s="51">
        <f t="shared" si="44"/>
        <v>7</v>
      </c>
      <c r="O233" s="19">
        <f t="shared" si="51"/>
        <v>10</v>
      </c>
      <c r="P233" s="20">
        <f t="shared" si="45"/>
        <v>0</v>
      </c>
      <c r="Q233" s="21"/>
      <c r="R233" s="21"/>
      <c r="S233" s="21"/>
      <c r="T233" s="21"/>
      <c r="U233" s="21"/>
      <c r="V233" s="21"/>
      <c r="W233" s="21"/>
      <c r="X233" s="21"/>
      <c r="Y233" s="21"/>
      <c r="Z233" s="21"/>
    </row>
    <row r="234" spans="1:26">
      <c r="A234" s="43">
        <v>227</v>
      </c>
      <c r="B234" s="44" t="str">
        <f t="shared" si="46"/>
        <v>19-й год 11-й мес</v>
      </c>
      <c r="C234" s="45">
        <f t="shared" si="52"/>
        <v>48101</v>
      </c>
      <c r="D234" s="46">
        <f t="shared" si="42"/>
        <v>0</v>
      </c>
      <c r="E234" s="47">
        <f t="shared" si="47"/>
        <v>0</v>
      </c>
      <c r="F234" s="47">
        <f t="shared" si="53"/>
        <v>0</v>
      </c>
      <c r="G234" s="48">
        <f t="shared" si="48"/>
        <v>0</v>
      </c>
      <c r="H234" s="49">
        <f t="shared" si="43"/>
        <v>0</v>
      </c>
      <c r="I234" s="47">
        <f t="shared" si="54"/>
        <v>0</v>
      </c>
      <c r="J234" s="47">
        <f t="shared" si="49"/>
        <v>0</v>
      </c>
      <c r="K234" s="50">
        <f t="shared" si="50"/>
        <v>0</v>
      </c>
      <c r="L234" s="63"/>
      <c r="M234" s="67"/>
      <c r="N234" s="51">
        <f t="shared" si="44"/>
        <v>7</v>
      </c>
      <c r="O234" s="19">
        <f t="shared" si="51"/>
        <v>10</v>
      </c>
      <c r="P234" s="20">
        <f t="shared" si="45"/>
        <v>0</v>
      </c>
      <c r="Q234" s="21"/>
      <c r="R234" s="21"/>
      <c r="S234" s="21"/>
      <c r="T234" s="21"/>
      <c r="U234" s="21"/>
      <c r="V234" s="21"/>
      <c r="W234" s="21"/>
      <c r="X234" s="21"/>
      <c r="Y234" s="21"/>
      <c r="Z234" s="21"/>
    </row>
    <row r="235" spans="1:26">
      <c r="A235" s="43">
        <v>228</v>
      </c>
      <c r="B235" s="44" t="str">
        <f t="shared" si="46"/>
        <v>19-й год 12-й мес</v>
      </c>
      <c r="C235" s="45">
        <f t="shared" si="52"/>
        <v>48131</v>
      </c>
      <c r="D235" s="46">
        <f t="shared" si="42"/>
        <v>0</v>
      </c>
      <c r="E235" s="47">
        <f t="shared" si="47"/>
        <v>0</v>
      </c>
      <c r="F235" s="47">
        <f t="shared" si="53"/>
        <v>0</v>
      </c>
      <c r="G235" s="48">
        <f t="shared" si="48"/>
        <v>0</v>
      </c>
      <c r="H235" s="49">
        <f t="shared" si="43"/>
        <v>0</v>
      </c>
      <c r="I235" s="47">
        <f t="shared" si="54"/>
        <v>0</v>
      </c>
      <c r="J235" s="47">
        <f t="shared" si="49"/>
        <v>0</v>
      </c>
      <c r="K235" s="50">
        <f t="shared" si="50"/>
        <v>0</v>
      </c>
      <c r="L235" s="63"/>
      <c r="M235" s="67"/>
      <c r="N235" s="51">
        <f t="shared" si="44"/>
        <v>7</v>
      </c>
      <c r="O235" s="19">
        <f t="shared" si="51"/>
        <v>10</v>
      </c>
      <c r="P235" s="20">
        <f t="shared" si="45"/>
        <v>0</v>
      </c>
      <c r="Q235" s="21"/>
      <c r="R235" s="21"/>
      <c r="S235" s="21"/>
      <c r="T235" s="21"/>
      <c r="U235" s="21"/>
      <c r="V235" s="21"/>
      <c r="W235" s="21"/>
      <c r="X235" s="21"/>
      <c r="Y235" s="21"/>
      <c r="Z235" s="21"/>
    </row>
    <row r="236" spans="1:26">
      <c r="A236" s="52">
        <v>229</v>
      </c>
      <c r="B236" s="44" t="str">
        <f t="shared" si="46"/>
        <v>20-й год 1-й мес</v>
      </c>
      <c r="C236" s="45">
        <f t="shared" si="52"/>
        <v>48162</v>
      </c>
      <c r="D236" s="46">
        <f t="shared" si="42"/>
        <v>0</v>
      </c>
      <c r="E236" s="53">
        <f t="shared" si="47"/>
        <v>0</v>
      </c>
      <c r="F236" s="47">
        <f t="shared" si="53"/>
        <v>0</v>
      </c>
      <c r="G236" s="54">
        <f t="shared" si="48"/>
        <v>0</v>
      </c>
      <c r="H236" s="55">
        <f t="shared" si="43"/>
        <v>0</v>
      </c>
      <c r="I236" s="53">
        <f t="shared" si="54"/>
        <v>0</v>
      </c>
      <c r="J236" s="53">
        <f t="shared" si="49"/>
        <v>0</v>
      </c>
      <c r="K236" s="56">
        <f t="shared" si="50"/>
        <v>0</v>
      </c>
      <c r="L236" s="65"/>
      <c r="M236" s="64"/>
      <c r="N236" s="51">
        <f t="shared" si="44"/>
        <v>7</v>
      </c>
      <c r="O236" s="19">
        <f t="shared" si="51"/>
        <v>10</v>
      </c>
      <c r="P236" s="20">
        <f t="shared" si="45"/>
        <v>0</v>
      </c>
      <c r="Q236" s="21"/>
      <c r="R236" s="21"/>
      <c r="S236" s="21"/>
      <c r="T236" s="21"/>
      <c r="U236" s="21"/>
      <c r="V236" s="21"/>
      <c r="W236" s="21"/>
      <c r="X236" s="21"/>
      <c r="Y236" s="21"/>
      <c r="Z236" s="21"/>
    </row>
    <row r="237" spans="1:26">
      <c r="A237" s="57">
        <v>230</v>
      </c>
      <c r="B237" s="44" t="str">
        <f t="shared" si="46"/>
        <v>20-й год 2-й мес</v>
      </c>
      <c r="C237" s="45">
        <f t="shared" si="52"/>
        <v>48192</v>
      </c>
      <c r="D237" s="46">
        <f t="shared" si="42"/>
        <v>0</v>
      </c>
      <c r="E237" s="47">
        <f t="shared" si="47"/>
        <v>0</v>
      </c>
      <c r="F237" s="47">
        <f t="shared" si="53"/>
        <v>0</v>
      </c>
      <c r="G237" s="48">
        <f t="shared" si="48"/>
        <v>0</v>
      </c>
      <c r="H237" s="49">
        <f t="shared" si="43"/>
        <v>0</v>
      </c>
      <c r="I237" s="47">
        <f t="shared" si="54"/>
        <v>0</v>
      </c>
      <c r="J237" s="47">
        <f t="shared" si="49"/>
        <v>0</v>
      </c>
      <c r="K237" s="50">
        <f t="shared" si="50"/>
        <v>0</v>
      </c>
      <c r="L237" s="63"/>
      <c r="M237" s="67"/>
      <c r="N237" s="51">
        <f t="shared" si="44"/>
        <v>7</v>
      </c>
      <c r="O237" s="19">
        <f t="shared" si="51"/>
        <v>10</v>
      </c>
      <c r="P237" s="20">
        <f t="shared" si="45"/>
        <v>0</v>
      </c>
      <c r="Q237" s="21"/>
      <c r="R237" s="21"/>
      <c r="S237" s="21"/>
      <c r="T237" s="21"/>
      <c r="U237" s="21"/>
      <c r="V237" s="21"/>
      <c r="W237" s="21"/>
      <c r="X237" s="21"/>
      <c r="Y237" s="21"/>
      <c r="Z237" s="21"/>
    </row>
    <row r="238" spans="1:26">
      <c r="A238" s="57">
        <v>231</v>
      </c>
      <c r="B238" s="44" t="str">
        <f t="shared" si="46"/>
        <v>20-й год 3-й мес</v>
      </c>
      <c r="C238" s="45">
        <f t="shared" si="52"/>
        <v>48223</v>
      </c>
      <c r="D238" s="46">
        <f t="shared" si="42"/>
        <v>0</v>
      </c>
      <c r="E238" s="47">
        <f t="shared" si="47"/>
        <v>0</v>
      </c>
      <c r="F238" s="47">
        <f t="shared" si="53"/>
        <v>0</v>
      </c>
      <c r="G238" s="48">
        <f t="shared" si="48"/>
        <v>0</v>
      </c>
      <c r="H238" s="49">
        <f t="shared" si="43"/>
        <v>0</v>
      </c>
      <c r="I238" s="47">
        <f t="shared" si="54"/>
        <v>0</v>
      </c>
      <c r="J238" s="47">
        <f t="shared" si="49"/>
        <v>0</v>
      </c>
      <c r="K238" s="50">
        <f t="shared" si="50"/>
        <v>0</v>
      </c>
      <c r="L238" s="63"/>
      <c r="M238" s="67"/>
      <c r="N238" s="51">
        <f t="shared" si="44"/>
        <v>7</v>
      </c>
      <c r="O238" s="19">
        <f t="shared" si="51"/>
        <v>10</v>
      </c>
      <c r="P238" s="20">
        <f t="shared" si="45"/>
        <v>0</v>
      </c>
      <c r="Q238" s="21"/>
      <c r="R238" s="21"/>
      <c r="S238" s="21"/>
      <c r="T238" s="21"/>
      <c r="U238" s="21"/>
      <c r="V238" s="21"/>
      <c r="W238" s="21"/>
      <c r="X238" s="21"/>
      <c r="Y238" s="21"/>
      <c r="Z238" s="21"/>
    </row>
    <row r="239" spans="1:26">
      <c r="A239" s="57">
        <v>232</v>
      </c>
      <c r="B239" s="44" t="str">
        <f t="shared" si="46"/>
        <v>20-й год 4-й мес</v>
      </c>
      <c r="C239" s="45">
        <f t="shared" si="52"/>
        <v>48254</v>
      </c>
      <c r="D239" s="46">
        <f t="shared" si="42"/>
        <v>0</v>
      </c>
      <c r="E239" s="47">
        <f t="shared" si="47"/>
        <v>0</v>
      </c>
      <c r="F239" s="47">
        <f t="shared" si="53"/>
        <v>0</v>
      </c>
      <c r="G239" s="48">
        <f t="shared" si="48"/>
        <v>0</v>
      </c>
      <c r="H239" s="49">
        <f t="shared" si="43"/>
        <v>0</v>
      </c>
      <c r="I239" s="47">
        <f t="shared" si="54"/>
        <v>0</v>
      </c>
      <c r="J239" s="47">
        <f t="shared" si="49"/>
        <v>0</v>
      </c>
      <c r="K239" s="50">
        <f t="shared" si="50"/>
        <v>0</v>
      </c>
      <c r="L239" s="63"/>
      <c r="M239" s="67"/>
      <c r="N239" s="51">
        <f t="shared" si="44"/>
        <v>7</v>
      </c>
      <c r="O239" s="19">
        <f t="shared" si="51"/>
        <v>10</v>
      </c>
      <c r="P239" s="20">
        <f t="shared" si="45"/>
        <v>0</v>
      </c>
      <c r="Q239" s="21"/>
      <c r="R239" s="21"/>
      <c r="S239" s="21"/>
      <c r="T239" s="21"/>
      <c r="U239" s="21"/>
      <c r="V239" s="21"/>
      <c r="W239" s="21"/>
      <c r="X239" s="21"/>
      <c r="Y239" s="21"/>
      <c r="Z239" s="21"/>
    </row>
    <row r="240" spans="1:26">
      <c r="A240" s="57">
        <v>233</v>
      </c>
      <c r="B240" s="44" t="str">
        <f t="shared" si="46"/>
        <v>20-й год 5-й мес</v>
      </c>
      <c r="C240" s="45">
        <f t="shared" si="52"/>
        <v>48283</v>
      </c>
      <c r="D240" s="46">
        <f t="shared" si="42"/>
        <v>0</v>
      </c>
      <c r="E240" s="47">
        <f t="shared" si="47"/>
        <v>0</v>
      </c>
      <c r="F240" s="47">
        <f t="shared" si="53"/>
        <v>0</v>
      </c>
      <c r="G240" s="48">
        <f t="shared" si="48"/>
        <v>0</v>
      </c>
      <c r="H240" s="49">
        <f t="shared" si="43"/>
        <v>0</v>
      </c>
      <c r="I240" s="47">
        <f t="shared" si="54"/>
        <v>0</v>
      </c>
      <c r="J240" s="47">
        <f t="shared" si="49"/>
        <v>0</v>
      </c>
      <c r="K240" s="50">
        <f t="shared" si="50"/>
        <v>0</v>
      </c>
      <c r="L240" s="63"/>
      <c r="M240" s="67"/>
      <c r="N240" s="51">
        <f t="shared" si="44"/>
        <v>7</v>
      </c>
      <c r="O240" s="19">
        <f t="shared" si="51"/>
        <v>10</v>
      </c>
      <c r="P240" s="20">
        <f t="shared" si="45"/>
        <v>0</v>
      </c>
      <c r="Q240" s="21"/>
      <c r="R240" s="21"/>
      <c r="S240" s="21"/>
      <c r="T240" s="21"/>
      <c r="U240" s="21"/>
      <c r="V240" s="21"/>
      <c r="W240" s="21"/>
      <c r="X240" s="21"/>
      <c r="Y240" s="21"/>
      <c r="Z240" s="21"/>
    </row>
    <row r="241" spans="1:26">
      <c r="A241" s="57">
        <v>234</v>
      </c>
      <c r="B241" s="44" t="str">
        <f t="shared" si="46"/>
        <v>20-й год 6-й мес</v>
      </c>
      <c r="C241" s="45">
        <f t="shared" si="52"/>
        <v>48314</v>
      </c>
      <c r="D241" s="46">
        <f t="shared" si="42"/>
        <v>0</v>
      </c>
      <c r="E241" s="47">
        <f t="shared" si="47"/>
        <v>0</v>
      </c>
      <c r="F241" s="47">
        <f t="shared" si="53"/>
        <v>0</v>
      </c>
      <c r="G241" s="48">
        <f t="shared" si="48"/>
        <v>0</v>
      </c>
      <c r="H241" s="49">
        <f t="shared" si="43"/>
        <v>0</v>
      </c>
      <c r="I241" s="47">
        <f t="shared" si="54"/>
        <v>0</v>
      </c>
      <c r="J241" s="47">
        <f t="shared" si="49"/>
        <v>0</v>
      </c>
      <c r="K241" s="50">
        <f t="shared" si="50"/>
        <v>0</v>
      </c>
      <c r="L241" s="63"/>
      <c r="M241" s="67"/>
      <c r="N241" s="51">
        <f t="shared" si="44"/>
        <v>7</v>
      </c>
      <c r="O241" s="19">
        <f t="shared" si="51"/>
        <v>10</v>
      </c>
      <c r="P241" s="20">
        <f t="shared" si="45"/>
        <v>0</v>
      </c>
      <c r="Q241" s="21"/>
      <c r="R241" s="21"/>
      <c r="S241" s="21"/>
      <c r="T241" s="21"/>
      <c r="U241" s="21"/>
      <c r="V241" s="21"/>
      <c r="W241" s="21"/>
      <c r="X241" s="21"/>
      <c r="Y241" s="21"/>
      <c r="Z241" s="21"/>
    </row>
    <row r="242" spans="1:26">
      <c r="A242" s="57">
        <v>235</v>
      </c>
      <c r="B242" s="44" t="str">
        <f t="shared" si="46"/>
        <v>20-й год 7-й мес</v>
      </c>
      <c r="C242" s="45">
        <f t="shared" si="52"/>
        <v>48344</v>
      </c>
      <c r="D242" s="46">
        <f t="shared" si="42"/>
        <v>0</v>
      </c>
      <c r="E242" s="47">
        <f t="shared" si="47"/>
        <v>0</v>
      </c>
      <c r="F242" s="47">
        <f t="shared" si="53"/>
        <v>0</v>
      </c>
      <c r="G242" s="48">
        <f t="shared" si="48"/>
        <v>0</v>
      </c>
      <c r="H242" s="49">
        <f t="shared" si="43"/>
        <v>0</v>
      </c>
      <c r="I242" s="47">
        <f t="shared" si="54"/>
        <v>0</v>
      </c>
      <c r="J242" s="47">
        <f t="shared" si="49"/>
        <v>0</v>
      </c>
      <c r="K242" s="50">
        <f t="shared" si="50"/>
        <v>0</v>
      </c>
      <c r="L242" s="63"/>
      <c r="M242" s="67"/>
      <c r="N242" s="51">
        <f t="shared" si="44"/>
        <v>7</v>
      </c>
      <c r="O242" s="19">
        <f t="shared" si="51"/>
        <v>10</v>
      </c>
      <c r="P242" s="20">
        <f t="shared" si="45"/>
        <v>0</v>
      </c>
      <c r="Q242" s="21"/>
      <c r="R242" s="21"/>
      <c r="S242" s="21"/>
      <c r="T242" s="21"/>
      <c r="U242" s="21"/>
      <c r="V242" s="21"/>
      <c r="W242" s="21"/>
      <c r="X242" s="21"/>
      <c r="Y242" s="21"/>
      <c r="Z242" s="21"/>
    </row>
    <row r="243" spans="1:26">
      <c r="A243" s="57">
        <v>236</v>
      </c>
      <c r="B243" s="44" t="str">
        <f t="shared" si="46"/>
        <v>20-й год 8-й мес</v>
      </c>
      <c r="C243" s="45">
        <f t="shared" si="52"/>
        <v>48375</v>
      </c>
      <c r="D243" s="46">
        <f t="shared" si="42"/>
        <v>0</v>
      </c>
      <c r="E243" s="47">
        <f t="shared" si="47"/>
        <v>0</v>
      </c>
      <c r="F243" s="47">
        <f t="shared" si="53"/>
        <v>0</v>
      </c>
      <c r="G243" s="48">
        <f t="shared" si="48"/>
        <v>0</v>
      </c>
      <c r="H243" s="49">
        <f t="shared" si="43"/>
        <v>0</v>
      </c>
      <c r="I243" s="47">
        <f t="shared" si="54"/>
        <v>0</v>
      </c>
      <c r="J243" s="47">
        <f t="shared" si="49"/>
        <v>0</v>
      </c>
      <c r="K243" s="50">
        <f t="shared" si="50"/>
        <v>0</v>
      </c>
      <c r="L243" s="63"/>
      <c r="M243" s="67"/>
      <c r="N243" s="51">
        <f t="shared" si="44"/>
        <v>7</v>
      </c>
      <c r="O243" s="19">
        <f t="shared" si="51"/>
        <v>10</v>
      </c>
      <c r="P243" s="20">
        <f t="shared" si="45"/>
        <v>0</v>
      </c>
      <c r="Q243" s="21"/>
      <c r="R243" s="21"/>
      <c r="S243" s="21"/>
      <c r="T243" s="21"/>
      <c r="U243" s="21"/>
      <c r="V243" s="21"/>
      <c r="W243" s="21"/>
      <c r="X243" s="21"/>
      <c r="Y243" s="21"/>
      <c r="Z243" s="21"/>
    </row>
    <row r="244" spans="1:26">
      <c r="A244" s="57">
        <v>237</v>
      </c>
      <c r="B244" s="44" t="str">
        <f t="shared" si="46"/>
        <v>20-й год 9-й мес</v>
      </c>
      <c r="C244" s="45">
        <f t="shared" si="52"/>
        <v>48405</v>
      </c>
      <c r="D244" s="46">
        <f t="shared" si="42"/>
        <v>0</v>
      </c>
      <c r="E244" s="47">
        <f t="shared" si="47"/>
        <v>0</v>
      </c>
      <c r="F244" s="47">
        <f t="shared" si="53"/>
        <v>0</v>
      </c>
      <c r="G244" s="48">
        <f t="shared" si="48"/>
        <v>0</v>
      </c>
      <c r="H244" s="49">
        <f t="shared" si="43"/>
        <v>0</v>
      </c>
      <c r="I244" s="47">
        <f t="shared" si="54"/>
        <v>0</v>
      </c>
      <c r="J244" s="47">
        <f t="shared" si="49"/>
        <v>0</v>
      </c>
      <c r="K244" s="50">
        <f t="shared" si="50"/>
        <v>0</v>
      </c>
      <c r="L244" s="63"/>
      <c r="M244" s="67"/>
      <c r="N244" s="51">
        <f t="shared" si="44"/>
        <v>7</v>
      </c>
      <c r="O244" s="19">
        <f t="shared" si="51"/>
        <v>10</v>
      </c>
      <c r="P244" s="20">
        <f t="shared" si="45"/>
        <v>0</v>
      </c>
      <c r="Q244" s="21"/>
      <c r="R244" s="21"/>
      <c r="S244" s="21"/>
      <c r="T244" s="21"/>
      <c r="U244" s="21"/>
      <c r="V244" s="21"/>
      <c r="W244" s="21"/>
      <c r="X244" s="21"/>
      <c r="Y244" s="21"/>
      <c r="Z244" s="21"/>
    </row>
    <row r="245" spans="1:26">
      <c r="A245" s="57">
        <v>238</v>
      </c>
      <c r="B245" s="44" t="str">
        <f t="shared" si="46"/>
        <v>20-й год 10-й мес</v>
      </c>
      <c r="C245" s="45">
        <f t="shared" si="52"/>
        <v>48436</v>
      </c>
      <c r="D245" s="46">
        <f t="shared" si="42"/>
        <v>0</v>
      </c>
      <c r="E245" s="47">
        <f t="shared" si="47"/>
        <v>0</v>
      </c>
      <c r="F245" s="47">
        <f t="shared" si="53"/>
        <v>0</v>
      </c>
      <c r="G245" s="48">
        <f t="shared" si="48"/>
        <v>0</v>
      </c>
      <c r="H245" s="49">
        <f t="shared" si="43"/>
        <v>0</v>
      </c>
      <c r="I245" s="47">
        <f t="shared" si="54"/>
        <v>0</v>
      </c>
      <c r="J245" s="47">
        <f t="shared" si="49"/>
        <v>0</v>
      </c>
      <c r="K245" s="50">
        <f t="shared" si="50"/>
        <v>0</v>
      </c>
      <c r="L245" s="63"/>
      <c r="M245" s="67"/>
      <c r="N245" s="51">
        <f t="shared" si="44"/>
        <v>7</v>
      </c>
      <c r="O245" s="19">
        <f t="shared" si="51"/>
        <v>10</v>
      </c>
      <c r="P245" s="20">
        <f t="shared" si="45"/>
        <v>0</v>
      </c>
      <c r="Q245" s="21"/>
      <c r="R245" s="21"/>
      <c r="S245" s="21"/>
      <c r="T245" s="21"/>
      <c r="U245" s="21"/>
      <c r="V245" s="21"/>
      <c r="W245" s="21"/>
      <c r="X245" s="21"/>
      <c r="Y245" s="21"/>
      <c r="Z245" s="21"/>
    </row>
    <row r="246" spans="1:26">
      <c r="A246" s="57">
        <v>239</v>
      </c>
      <c r="B246" s="44" t="str">
        <f t="shared" si="46"/>
        <v>20-й год 11-й мес</v>
      </c>
      <c r="C246" s="45">
        <f t="shared" si="52"/>
        <v>48467</v>
      </c>
      <c r="D246" s="46">
        <f t="shared" si="42"/>
        <v>0</v>
      </c>
      <c r="E246" s="47">
        <f t="shared" si="47"/>
        <v>0</v>
      </c>
      <c r="F246" s="47">
        <f t="shared" si="53"/>
        <v>0</v>
      </c>
      <c r="G246" s="48">
        <f t="shared" si="48"/>
        <v>0</v>
      </c>
      <c r="H246" s="49">
        <f t="shared" si="43"/>
        <v>0</v>
      </c>
      <c r="I246" s="47">
        <f t="shared" si="54"/>
        <v>0</v>
      </c>
      <c r="J246" s="47">
        <f t="shared" si="49"/>
        <v>0</v>
      </c>
      <c r="K246" s="50">
        <f t="shared" si="50"/>
        <v>0</v>
      </c>
      <c r="L246" s="63"/>
      <c r="M246" s="67"/>
      <c r="N246" s="51">
        <f t="shared" si="44"/>
        <v>7</v>
      </c>
      <c r="O246" s="19">
        <f t="shared" si="51"/>
        <v>10</v>
      </c>
      <c r="P246" s="20">
        <f t="shared" si="45"/>
        <v>0</v>
      </c>
      <c r="Q246" s="21"/>
      <c r="R246" s="21"/>
      <c r="S246" s="21"/>
      <c r="T246" s="21"/>
      <c r="U246" s="21"/>
      <c r="V246" s="21"/>
      <c r="W246" s="21"/>
      <c r="X246" s="21"/>
      <c r="Y246" s="21"/>
      <c r="Z246" s="21"/>
    </row>
    <row r="247" spans="1:26">
      <c r="A247" s="58">
        <v>240</v>
      </c>
      <c r="B247" s="44" t="str">
        <f t="shared" si="46"/>
        <v>20-й год 12-й мес</v>
      </c>
      <c r="C247" s="45">
        <f t="shared" si="52"/>
        <v>48497</v>
      </c>
      <c r="D247" s="46">
        <f t="shared" si="42"/>
        <v>0</v>
      </c>
      <c r="E247" s="59">
        <f t="shared" si="47"/>
        <v>0</v>
      </c>
      <c r="F247" s="47">
        <f t="shared" si="53"/>
        <v>0</v>
      </c>
      <c r="G247" s="60">
        <f t="shared" si="48"/>
        <v>0</v>
      </c>
      <c r="H247" s="61">
        <f t="shared" si="43"/>
        <v>0</v>
      </c>
      <c r="I247" s="59">
        <f t="shared" si="54"/>
        <v>0</v>
      </c>
      <c r="J247" s="59">
        <f t="shared" si="49"/>
        <v>0</v>
      </c>
      <c r="K247" s="62">
        <f t="shared" si="50"/>
        <v>0</v>
      </c>
      <c r="L247" s="66"/>
      <c r="M247" s="68"/>
      <c r="N247" s="51">
        <f t="shared" si="44"/>
        <v>7</v>
      </c>
      <c r="O247" s="19">
        <f t="shared" si="51"/>
        <v>10</v>
      </c>
      <c r="P247" s="20">
        <f t="shared" si="45"/>
        <v>0</v>
      </c>
      <c r="Q247" s="21"/>
      <c r="R247" s="21"/>
      <c r="S247" s="21"/>
      <c r="T247" s="21"/>
      <c r="U247" s="21"/>
      <c r="V247" s="21"/>
      <c r="W247" s="21"/>
      <c r="X247" s="21"/>
      <c r="Y247" s="21"/>
      <c r="Z247" s="21"/>
    </row>
    <row r="248" spans="1:26">
      <c r="A248" s="43">
        <v>241</v>
      </c>
      <c r="B248" s="44" t="str">
        <f t="shared" si="46"/>
        <v>21-й год 1-й мес</v>
      </c>
      <c r="C248" s="45">
        <f t="shared" si="52"/>
        <v>48528</v>
      </c>
      <c r="D248" s="46">
        <f t="shared" si="42"/>
        <v>0</v>
      </c>
      <c r="E248" s="47">
        <f t="shared" si="47"/>
        <v>0</v>
      </c>
      <c r="F248" s="47">
        <f t="shared" si="53"/>
        <v>0</v>
      </c>
      <c r="G248" s="48">
        <f t="shared" si="48"/>
        <v>0</v>
      </c>
      <c r="H248" s="49">
        <f t="shared" si="43"/>
        <v>0</v>
      </c>
      <c r="I248" s="47">
        <f t="shared" si="54"/>
        <v>0</v>
      </c>
      <c r="J248" s="47">
        <f t="shared" si="49"/>
        <v>0</v>
      </c>
      <c r="K248" s="50">
        <f t="shared" si="50"/>
        <v>0</v>
      </c>
      <c r="L248" s="63"/>
      <c r="M248" s="67"/>
      <c r="N248" s="51">
        <f t="shared" si="44"/>
        <v>7</v>
      </c>
      <c r="O248" s="19">
        <f t="shared" si="51"/>
        <v>10</v>
      </c>
      <c r="P248" s="20">
        <f t="shared" si="45"/>
        <v>0</v>
      </c>
      <c r="Q248" s="21"/>
      <c r="R248" s="21"/>
      <c r="S248" s="21"/>
      <c r="T248" s="21"/>
      <c r="U248" s="21"/>
      <c r="V248" s="21"/>
      <c r="W248" s="21"/>
      <c r="X248" s="21"/>
      <c r="Y248" s="21"/>
      <c r="Z248" s="21"/>
    </row>
    <row r="249" spans="1:26">
      <c r="A249" s="43">
        <v>242</v>
      </c>
      <c r="B249" s="44" t="str">
        <f t="shared" si="46"/>
        <v>21-й год 2-й мес</v>
      </c>
      <c r="C249" s="45">
        <f t="shared" si="52"/>
        <v>48558</v>
      </c>
      <c r="D249" s="46">
        <f t="shared" si="42"/>
        <v>0</v>
      </c>
      <c r="E249" s="47">
        <f t="shared" si="47"/>
        <v>0</v>
      </c>
      <c r="F249" s="47">
        <f t="shared" si="53"/>
        <v>0</v>
      </c>
      <c r="G249" s="48">
        <f t="shared" si="48"/>
        <v>0</v>
      </c>
      <c r="H249" s="49">
        <f t="shared" si="43"/>
        <v>0</v>
      </c>
      <c r="I249" s="47">
        <f t="shared" si="54"/>
        <v>0</v>
      </c>
      <c r="J249" s="47">
        <f t="shared" si="49"/>
        <v>0</v>
      </c>
      <c r="K249" s="50">
        <f t="shared" si="50"/>
        <v>0</v>
      </c>
      <c r="L249" s="63"/>
      <c r="M249" s="67"/>
      <c r="N249" s="51">
        <f t="shared" si="44"/>
        <v>7</v>
      </c>
      <c r="O249" s="19">
        <f t="shared" si="51"/>
        <v>10</v>
      </c>
      <c r="P249" s="20">
        <f t="shared" si="45"/>
        <v>0</v>
      </c>
      <c r="Q249" s="21"/>
      <c r="R249" s="21"/>
      <c r="S249" s="21"/>
      <c r="T249" s="21"/>
      <c r="U249" s="21"/>
      <c r="V249" s="21"/>
      <c r="W249" s="21"/>
      <c r="X249" s="21"/>
      <c r="Y249" s="21"/>
      <c r="Z249" s="21"/>
    </row>
    <row r="250" spans="1:26">
      <c r="A250" s="43">
        <v>243</v>
      </c>
      <c r="B250" s="44" t="str">
        <f t="shared" si="46"/>
        <v>21-й год 3-й мес</v>
      </c>
      <c r="C250" s="45">
        <f t="shared" si="52"/>
        <v>48589</v>
      </c>
      <c r="D250" s="46">
        <f t="shared" si="42"/>
        <v>0</v>
      </c>
      <c r="E250" s="47">
        <f t="shared" si="47"/>
        <v>0</v>
      </c>
      <c r="F250" s="47">
        <f t="shared" si="53"/>
        <v>0</v>
      </c>
      <c r="G250" s="48">
        <f t="shared" si="48"/>
        <v>0</v>
      </c>
      <c r="H250" s="49">
        <f t="shared" si="43"/>
        <v>0</v>
      </c>
      <c r="I250" s="47">
        <f t="shared" si="54"/>
        <v>0</v>
      </c>
      <c r="J250" s="47">
        <f t="shared" si="49"/>
        <v>0</v>
      </c>
      <c r="K250" s="50">
        <f t="shared" si="50"/>
        <v>0</v>
      </c>
      <c r="L250" s="63"/>
      <c r="M250" s="67"/>
      <c r="N250" s="51">
        <f t="shared" si="44"/>
        <v>7</v>
      </c>
      <c r="O250" s="19">
        <f t="shared" si="51"/>
        <v>10</v>
      </c>
      <c r="P250" s="20">
        <f t="shared" si="45"/>
        <v>0</v>
      </c>
      <c r="Q250" s="21"/>
      <c r="R250" s="21"/>
      <c r="S250" s="21"/>
      <c r="T250" s="21"/>
      <c r="U250" s="21"/>
      <c r="V250" s="21"/>
      <c r="W250" s="21"/>
      <c r="X250" s="21"/>
      <c r="Y250" s="21"/>
      <c r="Z250" s="21"/>
    </row>
    <row r="251" spans="1:26">
      <c r="A251" s="43">
        <v>244</v>
      </c>
      <c r="B251" s="44" t="str">
        <f t="shared" si="46"/>
        <v>21-й год 4-й мес</v>
      </c>
      <c r="C251" s="45">
        <f t="shared" si="52"/>
        <v>48620</v>
      </c>
      <c r="D251" s="46">
        <f t="shared" si="42"/>
        <v>0</v>
      </c>
      <c r="E251" s="47">
        <f t="shared" si="47"/>
        <v>0</v>
      </c>
      <c r="F251" s="47">
        <f t="shared" si="53"/>
        <v>0</v>
      </c>
      <c r="G251" s="48">
        <f t="shared" si="48"/>
        <v>0</v>
      </c>
      <c r="H251" s="49">
        <f t="shared" si="43"/>
        <v>0</v>
      </c>
      <c r="I251" s="47">
        <f t="shared" si="54"/>
        <v>0</v>
      </c>
      <c r="J251" s="47">
        <f t="shared" si="49"/>
        <v>0</v>
      </c>
      <c r="K251" s="50">
        <f t="shared" si="50"/>
        <v>0</v>
      </c>
      <c r="L251" s="63"/>
      <c r="M251" s="67"/>
      <c r="N251" s="51">
        <f t="shared" si="44"/>
        <v>7</v>
      </c>
      <c r="O251" s="19">
        <f t="shared" si="51"/>
        <v>10</v>
      </c>
      <c r="P251" s="20">
        <f t="shared" si="45"/>
        <v>0</v>
      </c>
      <c r="Q251" s="21"/>
      <c r="R251" s="21"/>
      <c r="S251" s="21"/>
      <c r="T251" s="21"/>
      <c r="U251" s="21"/>
      <c r="V251" s="21"/>
      <c r="W251" s="21"/>
      <c r="X251" s="21"/>
      <c r="Y251" s="21"/>
      <c r="Z251" s="21"/>
    </row>
    <row r="252" spans="1:26">
      <c r="A252" s="43">
        <v>245</v>
      </c>
      <c r="B252" s="44" t="str">
        <f t="shared" si="46"/>
        <v>21-й год 5-й мес</v>
      </c>
      <c r="C252" s="45">
        <f t="shared" si="52"/>
        <v>48648</v>
      </c>
      <c r="D252" s="46">
        <f t="shared" si="42"/>
        <v>0</v>
      </c>
      <c r="E252" s="47">
        <f t="shared" si="47"/>
        <v>0</v>
      </c>
      <c r="F252" s="47">
        <f t="shared" si="53"/>
        <v>0</v>
      </c>
      <c r="G252" s="48">
        <f t="shared" si="48"/>
        <v>0</v>
      </c>
      <c r="H252" s="49">
        <f t="shared" si="43"/>
        <v>0</v>
      </c>
      <c r="I252" s="47">
        <f t="shared" si="54"/>
        <v>0</v>
      </c>
      <c r="J252" s="47">
        <f t="shared" si="49"/>
        <v>0</v>
      </c>
      <c r="K252" s="50">
        <f t="shared" si="50"/>
        <v>0</v>
      </c>
      <c r="L252" s="63"/>
      <c r="M252" s="67"/>
      <c r="N252" s="51">
        <f t="shared" si="44"/>
        <v>7</v>
      </c>
      <c r="O252" s="19">
        <f t="shared" si="51"/>
        <v>10</v>
      </c>
      <c r="P252" s="20">
        <f t="shared" si="45"/>
        <v>0</v>
      </c>
      <c r="Q252" s="21"/>
      <c r="R252" s="21"/>
      <c r="S252" s="21"/>
      <c r="T252" s="21"/>
      <c r="U252" s="21"/>
      <c r="V252" s="21"/>
      <c r="W252" s="21"/>
      <c r="X252" s="21"/>
      <c r="Y252" s="21"/>
      <c r="Z252" s="21"/>
    </row>
    <row r="253" spans="1:26">
      <c r="A253" s="43">
        <v>246</v>
      </c>
      <c r="B253" s="44" t="str">
        <f t="shared" si="46"/>
        <v>21-й год 6-й мес</v>
      </c>
      <c r="C253" s="45">
        <f t="shared" si="52"/>
        <v>48679</v>
      </c>
      <c r="D253" s="46">
        <f t="shared" si="42"/>
        <v>0</v>
      </c>
      <c r="E253" s="47">
        <f t="shared" si="47"/>
        <v>0</v>
      </c>
      <c r="F253" s="47">
        <f t="shared" si="53"/>
        <v>0</v>
      </c>
      <c r="G253" s="48">
        <f t="shared" si="48"/>
        <v>0</v>
      </c>
      <c r="H253" s="49">
        <f t="shared" si="43"/>
        <v>0</v>
      </c>
      <c r="I253" s="47">
        <f t="shared" si="54"/>
        <v>0</v>
      </c>
      <c r="J253" s="47">
        <f t="shared" si="49"/>
        <v>0</v>
      </c>
      <c r="K253" s="50">
        <f t="shared" si="50"/>
        <v>0</v>
      </c>
      <c r="L253" s="63"/>
      <c r="M253" s="67"/>
      <c r="N253" s="51">
        <f t="shared" si="44"/>
        <v>7</v>
      </c>
      <c r="O253" s="19">
        <f t="shared" si="51"/>
        <v>10</v>
      </c>
      <c r="P253" s="20">
        <f t="shared" si="45"/>
        <v>0</v>
      </c>
      <c r="Q253" s="21"/>
      <c r="R253" s="21"/>
      <c r="S253" s="21"/>
      <c r="T253" s="21"/>
      <c r="U253" s="21"/>
      <c r="V253" s="21"/>
      <c r="W253" s="21"/>
      <c r="X253" s="21"/>
      <c r="Y253" s="21"/>
      <c r="Z253" s="21"/>
    </row>
    <row r="254" spans="1:26">
      <c r="A254" s="43">
        <v>247</v>
      </c>
      <c r="B254" s="44" t="str">
        <f t="shared" si="46"/>
        <v>21-й год 7-й мес</v>
      </c>
      <c r="C254" s="45">
        <f t="shared" si="52"/>
        <v>48709</v>
      </c>
      <c r="D254" s="46">
        <f t="shared" si="42"/>
        <v>0</v>
      </c>
      <c r="E254" s="47">
        <f t="shared" si="47"/>
        <v>0</v>
      </c>
      <c r="F254" s="47">
        <f t="shared" si="53"/>
        <v>0</v>
      </c>
      <c r="G254" s="48">
        <f t="shared" si="48"/>
        <v>0</v>
      </c>
      <c r="H254" s="49">
        <f t="shared" si="43"/>
        <v>0</v>
      </c>
      <c r="I254" s="47">
        <f t="shared" si="54"/>
        <v>0</v>
      </c>
      <c r="J254" s="47">
        <f t="shared" si="49"/>
        <v>0</v>
      </c>
      <c r="K254" s="50">
        <f t="shared" si="50"/>
        <v>0</v>
      </c>
      <c r="L254" s="63"/>
      <c r="M254" s="67"/>
      <c r="N254" s="51">
        <f t="shared" si="44"/>
        <v>7</v>
      </c>
      <c r="O254" s="19">
        <f t="shared" si="51"/>
        <v>10</v>
      </c>
      <c r="P254" s="20">
        <f t="shared" si="45"/>
        <v>0</v>
      </c>
      <c r="Q254" s="21"/>
      <c r="R254" s="21"/>
      <c r="S254" s="21"/>
      <c r="T254" s="21"/>
      <c r="U254" s="21"/>
      <c r="V254" s="21"/>
      <c r="W254" s="21"/>
      <c r="X254" s="21"/>
      <c r="Y254" s="21"/>
      <c r="Z254" s="21"/>
    </row>
    <row r="255" spans="1:26">
      <c r="A255" s="43">
        <v>248</v>
      </c>
      <c r="B255" s="44" t="str">
        <f t="shared" si="46"/>
        <v>21-й год 8-й мес</v>
      </c>
      <c r="C255" s="45">
        <f t="shared" si="52"/>
        <v>48740</v>
      </c>
      <c r="D255" s="46">
        <f t="shared" si="42"/>
        <v>0</v>
      </c>
      <c r="E255" s="47">
        <f t="shared" si="47"/>
        <v>0</v>
      </c>
      <c r="F255" s="47">
        <f t="shared" si="53"/>
        <v>0</v>
      </c>
      <c r="G255" s="48">
        <f t="shared" si="48"/>
        <v>0</v>
      </c>
      <c r="H255" s="49">
        <f t="shared" si="43"/>
        <v>0</v>
      </c>
      <c r="I255" s="47">
        <f t="shared" si="54"/>
        <v>0</v>
      </c>
      <c r="J255" s="47">
        <f t="shared" si="49"/>
        <v>0</v>
      </c>
      <c r="K255" s="50">
        <f t="shared" si="50"/>
        <v>0</v>
      </c>
      <c r="L255" s="63"/>
      <c r="M255" s="67"/>
      <c r="N255" s="51">
        <f t="shared" si="44"/>
        <v>7</v>
      </c>
      <c r="O255" s="19">
        <f t="shared" si="51"/>
        <v>10</v>
      </c>
      <c r="P255" s="20">
        <f t="shared" si="45"/>
        <v>0</v>
      </c>
      <c r="Q255" s="21"/>
      <c r="R255" s="21"/>
      <c r="S255" s="21"/>
      <c r="T255" s="21"/>
      <c r="U255" s="21"/>
      <c r="V255" s="21"/>
      <c r="W255" s="21"/>
      <c r="X255" s="21"/>
      <c r="Y255" s="21"/>
      <c r="Z255" s="21"/>
    </row>
    <row r="256" spans="1:26">
      <c r="A256" s="43">
        <v>249</v>
      </c>
      <c r="B256" s="44" t="str">
        <f t="shared" si="46"/>
        <v>21-й год 9-й мес</v>
      </c>
      <c r="C256" s="45">
        <f t="shared" si="52"/>
        <v>48770</v>
      </c>
      <c r="D256" s="46">
        <f t="shared" si="42"/>
        <v>0</v>
      </c>
      <c r="E256" s="47">
        <f t="shared" si="47"/>
        <v>0</v>
      </c>
      <c r="F256" s="47">
        <f t="shared" si="53"/>
        <v>0</v>
      </c>
      <c r="G256" s="48">
        <f t="shared" si="48"/>
        <v>0</v>
      </c>
      <c r="H256" s="49">
        <f t="shared" si="43"/>
        <v>0</v>
      </c>
      <c r="I256" s="47">
        <f t="shared" si="54"/>
        <v>0</v>
      </c>
      <c r="J256" s="47">
        <f t="shared" si="49"/>
        <v>0</v>
      </c>
      <c r="K256" s="50">
        <f t="shared" si="50"/>
        <v>0</v>
      </c>
      <c r="L256" s="63"/>
      <c r="M256" s="67"/>
      <c r="N256" s="51">
        <f t="shared" si="44"/>
        <v>7</v>
      </c>
      <c r="O256" s="19">
        <f t="shared" si="51"/>
        <v>10</v>
      </c>
      <c r="P256" s="20">
        <f t="shared" si="45"/>
        <v>0</v>
      </c>
      <c r="Q256" s="21"/>
      <c r="R256" s="21"/>
      <c r="S256" s="21"/>
      <c r="T256" s="21"/>
      <c r="U256" s="21"/>
      <c r="V256" s="21"/>
      <c r="W256" s="21"/>
      <c r="X256" s="21"/>
      <c r="Y256" s="21"/>
      <c r="Z256" s="21"/>
    </row>
    <row r="257" spans="1:26">
      <c r="A257" s="43">
        <v>250</v>
      </c>
      <c r="B257" s="44" t="str">
        <f t="shared" si="46"/>
        <v>21-й год 10-й мес</v>
      </c>
      <c r="C257" s="45">
        <f t="shared" si="52"/>
        <v>48801</v>
      </c>
      <c r="D257" s="46">
        <f t="shared" si="42"/>
        <v>0</v>
      </c>
      <c r="E257" s="47">
        <f t="shared" si="47"/>
        <v>0</v>
      </c>
      <c r="F257" s="47">
        <f t="shared" si="53"/>
        <v>0</v>
      </c>
      <c r="G257" s="48">
        <f t="shared" si="48"/>
        <v>0</v>
      </c>
      <c r="H257" s="49">
        <f t="shared" si="43"/>
        <v>0</v>
      </c>
      <c r="I257" s="47">
        <f t="shared" si="54"/>
        <v>0</v>
      </c>
      <c r="J257" s="47">
        <f t="shared" si="49"/>
        <v>0</v>
      </c>
      <c r="K257" s="50">
        <f t="shared" si="50"/>
        <v>0</v>
      </c>
      <c r="L257" s="63"/>
      <c r="M257" s="67"/>
      <c r="N257" s="51">
        <f t="shared" si="44"/>
        <v>7</v>
      </c>
      <c r="O257" s="19">
        <f t="shared" si="51"/>
        <v>10</v>
      </c>
      <c r="P257" s="20">
        <f t="shared" si="45"/>
        <v>0</v>
      </c>
      <c r="Q257" s="21"/>
      <c r="R257" s="21"/>
      <c r="S257" s="21"/>
      <c r="T257" s="21"/>
      <c r="U257" s="21"/>
      <c r="V257" s="21"/>
      <c r="W257" s="21"/>
      <c r="X257" s="21"/>
      <c r="Y257" s="21"/>
      <c r="Z257" s="21"/>
    </row>
    <row r="258" spans="1:26">
      <c r="A258" s="43">
        <v>251</v>
      </c>
      <c r="B258" s="44" t="str">
        <f t="shared" si="46"/>
        <v>21-й год 11-й мес</v>
      </c>
      <c r="C258" s="45">
        <f t="shared" si="52"/>
        <v>48832</v>
      </c>
      <c r="D258" s="46">
        <f t="shared" si="42"/>
        <v>0</v>
      </c>
      <c r="E258" s="47">
        <f t="shared" si="47"/>
        <v>0</v>
      </c>
      <c r="F258" s="47">
        <f t="shared" si="53"/>
        <v>0</v>
      </c>
      <c r="G258" s="48">
        <f t="shared" si="48"/>
        <v>0</v>
      </c>
      <c r="H258" s="49">
        <f t="shared" si="43"/>
        <v>0</v>
      </c>
      <c r="I258" s="47">
        <f t="shared" si="54"/>
        <v>0</v>
      </c>
      <c r="J258" s="47">
        <f t="shared" si="49"/>
        <v>0</v>
      </c>
      <c r="K258" s="50">
        <f t="shared" si="50"/>
        <v>0</v>
      </c>
      <c r="L258" s="63"/>
      <c r="M258" s="67"/>
      <c r="N258" s="51">
        <f t="shared" si="44"/>
        <v>7</v>
      </c>
      <c r="O258" s="19">
        <f t="shared" si="51"/>
        <v>10</v>
      </c>
      <c r="P258" s="20">
        <f t="shared" si="45"/>
        <v>0</v>
      </c>
      <c r="Q258" s="21"/>
      <c r="R258" s="21"/>
      <c r="S258" s="21"/>
      <c r="T258" s="21"/>
      <c r="U258" s="21"/>
      <c r="V258" s="21"/>
      <c r="W258" s="21"/>
      <c r="X258" s="21"/>
      <c r="Y258" s="21"/>
      <c r="Z258" s="21"/>
    </row>
    <row r="259" spans="1:26">
      <c r="A259" s="43">
        <v>252</v>
      </c>
      <c r="B259" s="44" t="str">
        <f t="shared" si="46"/>
        <v>21-й год 12-й мес</v>
      </c>
      <c r="C259" s="45">
        <f t="shared" si="52"/>
        <v>48862</v>
      </c>
      <c r="D259" s="46">
        <f t="shared" si="42"/>
        <v>0</v>
      </c>
      <c r="E259" s="47">
        <f t="shared" si="47"/>
        <v>0</v>
      </c>
      <c r="F259" s="47">
        <f t="shared" si="53"/>
        <v>0</v>
      </c>
      <c r="G259" s="48">
        <f t="shared" si="48"/>
        <v>0</v>
      </c>
      <c r="H259" s="49">
        <f t="shared" si="43"/>
        <v>0</v>
      </c>
      <c r="I259" s="47">
        <f t="shared" si="54"/>
        <v>0</v>
      </c>
      <c r="J259" s="47">
        <f t="shared" si="49"/>
        <v>0</v>
      </c>
      <c r="K259" s="50">
        <f t="shared" si="50"/>
        <v>0</v>
      </c>
      <c r="L259" s="63"/>
      <c r="M259" s="67"/>
      <c r="N259" s="51">
        <f t="shared" si="44"/>
        <v>7</v>
      </c>
      <c r="O259" s="19">
        <f t="shared" si="51"/>
        <v>10</v>
      </c>
      <c r="P259" s="20">
        <f t="shared" si="45"/>
        <v>0</v>
      </c>
      <c r="Q259" s="21"/>
      <c r="R259" s="21"/>
      <c r="S259" s="21"/>
      <c r="T259" s="21"/>
      <c r="U259" s="21"/>
      <c r="V259" s="21"/>
      <c r="W259" s="21"/>
      <c r="X259" s="21"/>
      <c r="Y259" s="21"/>
      <c r="Z259" s="21"/>
    </row>
    <row r="260" spans="1:26">
      <c r="A260" s="52">
        <v>253</v>
      </c>
      <c r="B260" s="44" t="str">
        <f t="shared" si="46"/>
        <v>22-й год 1-й мес</v>
      </c>
      <c r="C260" s="45">
        <f t="shared" si="52"/>
        <v>48893</v>
      </c>
      <c r="D260" s="46">
        <f t="shared" si="42"/>
        <v>0</v>
      </c>
      <c r="E260" s="53">
        <f t="shared" si="47"/>
        <v>0</v>
      </c>
      <c r="F260" s="47">
        <f t="shared" si="53"/>
        <v>0</v>
      </c>
      <c r="G260" s="54">
        <f t="shared" si="48"/>
        <v>0</v>
      </c>
      <c r="H260" s="55">
        <f t="shared" si="43"/>
        <v>0</v>
      </c>
      <c r="I260" s="53">
        <f t="shared" si="54"/>
        <v>0</v>
      </c>
      <c r="J260" s="53">
        <f t="shared" si="49"/>
        <v>0</v>
      </c>
      <c r="K260" s="56">
        <f t="shared" si="50"/>
        <v>0</v>
      </c>
      <c r="L260" s="65"/>
      <c r="M260" s="64"/>
      <c r="N260" s="51">
        <f t="shared" si="44"/>
        <v>7</v>
      </c>
      <c r="O260" s="19">
        <f t="shared" si="51"/>
        <v>10</v>
      </c>
      <c r="P260" s="20">
        <f t="shared" si="45"/>
        <v>0</v>
      </c>
      <c r="Q260" s="21"/>
      <c r="R260" s="21"/>
      <c r="S260" s="21"/>
      <c r="T260" s="21"/>
      <c r="U260" s="21"/>
      <c r="V260" s="21"/>
      <c r="W260" s="21"/>
      <c r="X260" s="21"/>
      <c r="Y260" s="21"/>
      <c r="Z260" s="21"/>
    </row>
    <row r="261" spans="1:26">
      <c r="A261" s="57">
        <v>254</v>
      </c>
      <c r="B261" s="44" t="str">
        <f t="shared" si="46"/>
        <v>22-й год 2-й мес</v>
      </c>
      <c r="C261" s="45">
        <f t="shared" si="52"/>
        <v>48923</v>
      </c>
      <c r="D261" s="46">
        <f t="shared" si="42"/>
        <v>0</v>
      </c>
      <c r="E261" s="47">
        <f t="shared" si="47"/>
        <v>0</v>
      </c>
      <c r="F261" s="47">
        <f t="shared" si="53"/>
        <v>0</v>
      </c>
      <c r="G261" s="48">
        <f t="shared" si="48"/>
        <v>0</v>
      </c>
      <c r="H261" s="49">
        <f t="shared" si="43"/>
        <v>0</v>
      </c>
      <c r="I261" s="47">
        <f t="shared" si="54"/>
        <v>0</v>
      </c>
      <c r="J261" s="47">
        <f t="shared" si="49"/>
        <v>0</v>
      </c>
      <c r="K261" s="50">
        <f t="shared" si="50"/>
        <v>0</v>
      </c>
      <c r="L261" s="63"/>
      <c r="M261" s="67"/>
      <c r="N261" s="51">
        <f t="shared" si="44"/>
        <v>7</v>
      </c>
      <c r="O261" s="19">
        <f t="shared" si="51"/>
        <v>10</v>
      </c>
      <c r="P261" s="20">
        <f t="shared" si="45"/>
        <v>0</v>
      </c>
      <c r="Q261" s="21"/>
      <c r="R261" s="21"/>
      <c r="S261" s="21"/>
      <c r="T261" s="21"/>
      <c r="U261" s="21"/>
      <c r="V261" s="21"/>
      <c r="W261" s="21"/>
      <c r="X261" s="21"/>
      <c r="Y261" s="21"/>
      <c r="Z261" s="21"/>
    </row>
    <row r="262" spans="1:26">
      <c r="A262" s="57">
        <v>255</v>
      </c>
      <c r="B262" s="44" t="str">
        <f t="shared" si="46"/>
        <v>22-й год 3-й мес</v>
      </c>
      <c r="C262" s="45">
        <f t="shared" si="52"/>
        <v>48954</v>
      </c>
      <c r="D262" s="46">
        <f t="shared" si="42"/>
        <v>0</v>
      </c>
      <c r="E262" s="47">
        <f t="shared" si="47"/>
        <v>0</v>
      </c>
      <c r="F262" s="47">
        <f t="shared" si="53"/>
        <v>0</v>
      </c>
      <c r="G262" s="48">
        <f t="shared" si="48"/>
        <v>0</v>
      </c>
      <c r="H262" s="49">
        <f t="shared" si="43"/>
        <v>0</v>
      </c>
      <c r="I262" s="47">
        <f t="shared" si="54"/>
        <v>0</v>
      </c>
      <c r="J262" s="47">
        <f t="shared" si="49"/>
        <v>0</v>
      </c>
      <c r="K262" s="50">
        <f t="shared" si="50"/>
        <v>0</v>
      </c>
      <c r="L262" s="63"/>
      <c r="M262" s="67"/>
      <c r="N262" s="51">
        <f t="shared" si="44"/>
        <v>7</v>
      </c>
      <c r="O262" s="19">
        <f t="shared" si="51"/>
        <v>10</v>
      </c>
      <c r="P262" s="20">
        <f t="shared" si="45"/>
        <v>0</v>
      </c>
      <c r="Q262" s="21"/>
      <c r="R262" s="21"/>
      <c r="S262" s="21"/>
      <c r="T262" s="21"/>
      <c r="U262" s="21"/>
      <c r="V262" s="21"/>
      <c r="W262" s="21"/>
      <c r="X262" s="21"/>
      <c r="Y262" s="21"/>
      <c r="Z262" s="21"/>
    </row>
    <row r="263" spans="1:26">
      <c r="A263" s="57">
        <v>256</v>
      </c>
      <c r="B263" s="44" t="str">
        <f t="shared" si="46"/>
        <v>22-й год 4-й мес</v>
      </c>
      <c r="C263" s="45">
        <f t="shared" si="52"/>
        <v>48985</v>
      </c>
      <c r="D263" s="46">
        <f t="shared" si="42"/>
        <v>0</v>
      </c>
      <c r="E263" s="47">
        <f t="shared" si="47"/>
        <v>0</v>
      </c>
      <c r="F263" s="47">
        <f t="shared" si="53"/>
        <v>0</v>
      </c>
      <c r="G263" s="48">
        <f t="shared" si="48"/>
        <v>0</v>
      </c>
      <c r="H263" s="49">
        <f t="shared" si="43"/>
        <v>0</v>
      </c>
      <c r="I263" s="47">
        <f t="shared" si="54"/>
        <v>0</v>
      </c>
      <c r="J263" s="47">
        <f t="shared" si="49"/>
        <v>0</v>
      </c>
      <c r="K263" s="50">
        <f t="shared" si="50"/>
        <v>0</v>
      </c>
      <c r="L263" s="63"/>
      <c r="M263" s="67"/>
      <c r="N263" s="51">
        <f t="shared" si="44"/>
        <v>7</v>
      </c>
      <c r="O263" s="19">
        <f t="shared" si="51"/>
        <v>10</v>
      </c>
      <c r="P263" s="20">
        <f t="shared" si="45"/>
        <v>0</v>
      </c>
      <c r="Q263" s="21"/>
      <c r="R263" s="21"/>
      <c r="S263" s="21"/>
      <c r="T263" s="21"/>
      <c r="U263" s="21"/>
      <c r="V263" s="21"/>
      <c r="W263" s="21"/>
      <c r="X263" s="21"/>
      <c r="Y263" s="21"/>
      <c r="Z263" s="21"/>
    </row>
    <row r="264" spans="1:26">
      <c r="A264" s="57">
        <v>257</v>
      </c>
      <c r="B264" s="44" t="str">
        <f t="shared" si="46"/>
        <v>22-й год 5-й мес</v>
      </c>
      <c r="C264" s="45">
        <f t="shared" si="52"/>
        <v>49013</v>
      </c>
      <c r="D264" s="46">
        <f t="shared" ref="D264:D327" si="55">IF(P264*$D$2/100/12/(1-(1+$D$2/100/12)^(-O264))&lt;G263,ROUNDUP(P264*$D$2/100/12/(1-(1+$D$2/100/12)^(-O264)),0),G263+F264)</f>
        <v>0</v>
      </c>
      <c r="E264" s="47">
        <f t="shared" si="47"/>
        <v>0</v>
      </c>
      <c r="F264" s="47">
        <f t="shared" si="53"/>
        <v>0</v>
      </c>
      <c r="G264" s="48">
        <f t="shared" si="48"/>
        <v>0</v>
      </c>
      <c r="H264" s="49">
        <f t="shared" ref="H264:H327" si="56">I264+J264</f>
        <v>0</v>
      </c>
      <c r="I264" s="47">
        <f t="shared" si="54"/>
        <v>0</v>
      </c>
      <c r="J264" s="47">
        <f t="shared" si="49"/>
        <v>0</v>
      </c>
      <c r="K264" s="50">
        <f t="shared" si="50"/>
        <v>0</v>
      </c>
      <c r="L264" s="63"/>
      <c r="M264" s="67"/>
      <c r="N264" s="51">
        <f t="shared" ref="N264:N327" si="57">IF(ISBLANK(L263),VALUE(N263),ROW(L263))</f>
        <v>7</v>
      </c>
      <c r="O264" s="19">
        <f t="shared" si="51"/>
        <v>10</v>
      </c>
      <c r="P264" s="20">
        <f t="shared" ref="P264:P327" si="58">INDEX(G:G,N264,1)</f>
        <v>0</v>
      </c>
      <c r="Q264" s="21"/>
      <c r="R264" s="21"/>
      <c r="S264" s="21"/>
      <c r="T264" s="21"/>
      <c r="U264" s="21"/>
      <c r="V264" s="21"/>
      <c r="W264" s="21"/>
      <c r="X264" s="21"/>
      <c r="Y264" s="21"/>
      <c r="Z264" s="21"/>
    </row>
    <row r="265" spans="1:26">
      <c r="A265" s="57">
        <v>258</v>
      </c>
      <c r="B265" s="44" t="str">
        <f t="shared" ref="B265:B328" si="59">CONCATENATE(INT((A265-1)/12)+1,"-й год ",A265-1-INT((A265-1)/12)*12+1,"-й мес")</f>
        <v>22-й год 6-й мес</v>
      </c>
      <c r="C265" s="45">
        <f t="shared" si="52"/>
        <v>49044</v>
      </c>
      <c r="D265" s="46">
        <f t="shared" si="55"/>
        <v>0</v>
      </c>
      <c r="E265" s="47">
        <f t="shared" ref="E265:E328" si="60">D265-F265</f>
        <v>0</v>
      </c>
      <c r="F265" s="47">
        <f t="shared" si="53"/>
        <v>0</v>
      </c>
      <c r="G265" s="48">
        <f t="shared" ref="G265:G328" si="61">G264-E265-L265-M265</f>
        <v>0</v>
      </c>
      <c r="H265" s="49">
        <f t="shared" si="56"/>
        <v>0</v>
      </c>
      <c r="I265" s="47">
        <f t="shared" si="54"/>
        <v>0</v>
      </c>
      <c r="J265" s="47">
        <f t="shared" ref="J265:J328" si="62">K264*$D$2/12/100</f>
        <v>0</v>
      </c>
      <c r="K265" s="50">
        <f t="shared" ref="K265:K328" si="63">K264-I265-L265-M265</f>
        <v>0</v>
      </c>
      <c r="L265" s="63"/>
      <c r="M265" s="67"/>
      <c r="N265" s="51">
        <f t="shared" si="57"/>
        <v>7</v>
      </c>
      <c r="O265" s="19">
        <f t="shared" ref="O265:O328" si="64">O264+N264-N265</f>
        <v>10</v>
      </c>
      <c r="P265" s="20">
        <f t="shared" si="58"/>
        <v>0</v>
      </c>
      <c r="Q265" s="21"/>
      <c r="R265" s="21"/>
      <c r="S265" s="21"/>
      <c r="T265" s="21"/>
      <c r="U265" s="21"/>
      <c r="V265" s="21"/>
      <c r="W265" s="21"/>
      <c r="X265" s="21"/>
      <c r="Y265" s="21"/>
      <c r="Z265" s="21"/>
    </row>
    <row r="266" spans="1:26">
      <c r="A266" s="57">
        <v>259</v>
      </c>
      <c r="B266" s="44" t="str">
        <f t="shared" si="59"/>
        <v>22-й год 7-й мес</v>
      </c>
      <c r="C266" s="45">
        <f t="shared" ref="C266:C329" si="65">DATE(YEAR(C265),MONTH(C265)+1,DAY(C265))</f>
        <v>49074</v>
      </c>
      <c r="D266" s="46">
        <f t="shared" si="55"/>
        <v>0</v>
      </c>
      <c r="E266" s="47">
        <f t="shared" si="60"/>
        <v>0</v>
      </c>
      <c r="F266" s="47">
        <f t="shared" ref="F266:F329" si="66">G265*$D$2*(C266-C265)/(DATE(YEAR(C266)+1,1,1)-DATE(YEAR(C266),1,1))/100</f>
        <v>0</v>
      </c>
      <c r="G266" s="48">
        <f t="shared" si="61"/>
        <v>0</v>
      </c>
      <c r="H266" s="49">
        <f t="shared" si="56"/>
        <v>0</v>
      </c>
      <c r="I266" s="47">
        <f t="shared" ref="I266:I329" si="67">IF($D$1/$D$3&lt;K265,$D$1/$D$3,K265)</f>
        <v>0</v>
      </c>
      <c r="J266" s="47">
        <f t="shared" si="62"/>
        <v>0</v>
      </c>
      <c r="K266" s="50">
        <f t="shared" si="63"/>
        <v>0</v>
      </c>
      <c r="L266" s="63"/>
      <c r="M266" s="67"/>
      <c r="N266" s="51">
        <f t="shared" si="57"/>
        <v>7</v>
      </c>
      <c r="O266" s="19">
        <f t="shared" si="64"/>
        <v>10</v>
      </c>
      <c r="P266" s="20">
        <f t="shared" si="58"/>
        <v>0</v>
      </c>
      <c r="Q266" s="21"/>
      <c r="R266" s="21"/>
      <c r="S266" s="21"/>
      <c r="T266" s="21"/>
      <c r="U266" s="21"/>
      <c r="V266" s="21"/>
      <c r="W266" s="21"/>
      <c r="X266" s="21"/>
      <c r="Y266" s="21"/>
      <c r="Z266" s="21"/>
    </row>
    <row r="267" spans="1:26">
      <c r="A267" s="57">
        <v>260</v>
      </c>
      <c r="B267" s="44" t="str">
        <f t="shared" si="59"/>
        <v>22-й год 8-й мес</v>
      </c>
      <c r="C267" s="45">
        <f t="shared" si="65"/>
        <v>49105</v>
      </c>
      <c r="D267" s="46">
        <f t="shared" si="55"/>
        <v>0</v>
      </c>
      <c r="E267" s="47">
        <f t="shared" si="60"/>
        <v>0</v>
      </c>
      <c r="F267" s="47">
        <f t="shared" si="66"/>
        <v>0</v>
      </c>
      <c r="G267" s="48">
        <f t="shared" si="61"/>
        <v>0</v>
      </c>
      <c r="H267" s="49">
        <f t="shared" si="56"/>
        <v>0</v>
      </c>
      <c r="I267" s="47">
        <f t="shared" si="67"/>
        <v>0</v>
      </c>
      <c r="J267" s="47">
        <f t="shared" si="62"/>
        <v>0</v>
      </c>
      <c r="K267" s="50">
        <f t="shared" si="63"/>
        <v>0</v>
      </c>
      <c r="L267" s="63"/>
      <c r="M267" s="67"/>
      <c r="N267" s="51">
        <f t="shared" si="57"/>
        <v>7</v>
      </c>
      <c r="O267" s="19">
        <f t="shared" si="64"/>
        <v>10</v>
      </c>
      <c r="P267" s="20">
        <f t="shared" si="58"/>
        <v>0</v>
      </c>
      <c r="Q267" s="21"/>
      <c r="R267" s="21"/>
      <c r="S267" s="21"/>
      <c r="T267" s="21"/>
      <c r="U267" s="21"/>
      <c r="V267" s="21"/>
      <c r="W267" s="21"/>
      <c r="X267" s="21"/>
      <c r="Y267" s="21"/>
      <c r="Z267" s="21"/>
    </row>
    <row r="268" spans="1:26">
      <c r="A268" s="57">
        <v>261</v>
      </c>
      <c r="B268" s="44" t="str">
        <f t="shared" si="59"/>
        <v>22-й год 9-й мес</v>
      </c>
      <c r="C268" s="45">
        <f t="shared" si="65"/>
        <v>49135</v>
      </c>
      <c r="D268" s="46">
        <f t="shared" si="55"/>
        <v>0</v>
      </c>
      <c r="E268" s="47">
        <f t="shared" si="60"/>
        <v>0</v>
      </c>
      <c r="F268" s="47">
        <f t="shared" si="66"/>
        <v>0</v>
      </c>
      <c r="G268" s="48">
        <f t="shared" si="61"/>
        <v>0</v>
      </c>
      <c r="H268" s="49">
        <f t="shared" si="56"/>
        <v>0</v>
      </c>
      <c r="I268" s="47">
        <f t="shared" si="67"/>
        <v>0</v>
      </c>
      <c r="J268" s="47">
        <f t="shared" si="62"/>
        <v>0</v>
      </c>
      <c r="K268" s="50">
        <f t="shared" si="63"/>
        <v>0</v>
      </c>
      <c r="L268" s="63"/>
      <c r="M268" s="67"/>
      <c r="N268" s="51">
        <f t="shared" si="57"/>
        <v>7</v>
      </c>
      <c r="O268" s="19">
        <f t="shared" si="64"/>
        <v>10</v>
      </c>
      <c r="P268" s="20">
        <f t="shared" si="58"/>
        <v>0</v>
      </c>
      <c r="Q268" s="21"/>
      <c r="R268" s="21"/>
      <c r="S268" s="21"/>
      <c r="T268" s="21"/>
      <c r="U268" s="21"/>
      <c r="V268" s="21"/>
      <c r="W268" s="21"/>
      <c r="X268" s="21"/>
      <c r="Y268" s="21"/>
      <c r="Z268" s="21"/>
    </row>
    <row r="269" spans="1:26">
      <c r="A269" s="57">
        <v>262</v>
      </c>
      <c r="B269" s="44" t="str">
        <f t="shared" si="59"/>
        <v>22-й год 10-й мес</v>
      </c>
      <c r="C269" s="45">
        <f t="shared" si="65"/>
        <v>49166</v>
      </c>
      <c r="D269" s="46">
        <f t="shared" si="55"/>
        <v>0</v>
      </c>
      <c r="E269" s="47">
        <f t="shared" si="60"/>
        <v>0</v>
      </c>
      <c r="F269" s="47">
        <f t="shared" si="66"/>
        <v>0</v>
      </c>
      <c r="G269" s="48">
        <f t="shared" si="61"/>
        <v>0</v>
      </c>
      <c r="H269" s="49">
        <f t="shared" si="56"/>
        <v>0</v>
      </c>
      <c r="I269" s="47">
        <f t="shared" si="67"/>
        <v>0</v>
      </c>
      <c r="J269" s="47">
        <f t="shared" si="62"/>
        <v>0</v>
      </c>
      <c r="K269" s="50">
        <f t="shared" si="63"/>
        <v>0</v>
      </c>
      <c r="L269" s="63"/>
      <c r="M269" s="67"/>
      <c r="N269" s="51">
        <f t="shared" si="57"/>
        <v>7</v>
      </c>
      <c r="O269" s="19">
        <f t="shared" si="64"/>
        <v>10</v>
      </c>
      <c r="P269" s="20">
        <f t="shared" si="58"/>
        <v>0</v>
      </c>
      <c r="Q269" s="21"/>
      <c r="R269" s="21"/>
      <c r="S269" s="21"/>
      <c r="T269" s="21"/>
      <c r="U269" s="21"/>
      <c r="V269" s="21"/>
      <c r="W269" s="21"/>
      <c r="X269" s="21"/>
      <c r="Y269" s="21"/>
      <c r="Z269" s="21"/>
    </row>
    <row r="270" spans="1:26">
      <c r="A270" s="57">
        <v>263</v>
      </c>
      <c r="B270" s="44" t="str">
        <f t="shared" si="59"/>
        <v>22-й год 11-й мес</v>
      </c>
      <c r="C270" s="45">
        <f t="shared" si="65"/>
        <v>49197</v>
      </c>
      <c r="D270" s="46">
        <f t="shared" si="55"/>
        <v>0</v>
      </c>
      <c r="E270" s="47">
        <f t="shared" si="60"/>
        <v>0</v>
      </c>
      <c r="F270" s="47">
        <f t="shared" si="66"/>
        <v>0</v>
      </c>
      <c r="G270" s="48">
        <f t="shared" si="61"/>
        <v>0</v>
      </c>
      <c r="H270" s="49">
        <f t="shared" si="56"/>
        <v>0</v>
      </c>
      <c r="I270" s="47">
        <f t="shared" si="67"/>
        <v>0</v>
      </c>
      <c r="J270" s="47">
        <f t="shared" si="62"/>
        <v>0</v>
      </c>
      <c r="K270" s="50">
        <f t="shared" si="63"/>
        <v>0</v>
      </c>
      <c r="L270" s="63"/>
      <c r="M270" s="67"/>
      <c r="N270" s="51">
        <f t="shared" si="57"/>
        <v>7</v>
      </c>
      <c r="O270" s="19">
        <f t="shared" si="64"/>
        <v>10</v>
      </c>
      <c r="P270" s="20">
        <f t="shared" si="58"/>
        <v>0</v>
      </c>
      <c r="Q270" s="21"/>
      <c r="R270" s="21"/>
      <c r="S270" s="21"/>
      <c r="T270" s="21"/>
      <c r="U270" s="21"/>
      <c r="V270" s="21"/>
      <c r="W270" s="21"/>
      <c r="X270" s="21"/>
      <c r="Y270" s="21"/>
      <c r="Z270" s="21"/>
    </row>
    <row r="271" spans="1:26">
      <c r="A271" s="58">
        <v>264</v>
      </c>
      <c r="B271" s="44" t="str">
        <f t="shared" si="59"/>
        <v>22-й год 12-й мес</v>
      </c>
      <c r="C271" s="45">
        <f t="shared" si="65"/>
        <v>49227</v>
      </c>
      <c r="D271" s="46">
        <f t="shared" si="55"/>
        <v>0</v>
      </c>
      <c r="E271" s="59">
        <f t="shared" si="60"/>
        <v>0</v>
      </c>
      <c r="F271" s="47">
        <f t="shared" si="66"/>
        <v>0</v>
      </c>
      <c r="G271" s="60">
        <f t="shared" si="61"/>
        <v>0</v>
      </c>
      <c r="H271" s="61">
        <f t="shared" si="56"/>
        <v>0</v>
      </c>
      <c r="I271" s="59">
        <f t="shared" si="67"/>
        <v>0</v>
      </c>
      <c r="J271" s="59">
        <f t="shared" si="62"/>
        <v>0</v>
      </c>
      <c r="K271" s="62">
        <f t="shared" si="63"/>
        <v>0</v>
      </c>
      <c r="L271" s="66"/>
      <c r="M271" s="68"/>
      <c r="N271" s="51">
        <f t="shared" si="57"/>
        <v>7</v>
      </c>
      <c r="O271" s="19">
        <f t="shared" si="64"/>
        <v>10</v>
      </c>
      <c r="P271" s="20">
        <f t="shared" si="58"/>
        <v>0</v>
      </c>
      <c r="Q271" s="21"/>
      <c r="R271" s="21"/>
      <c r="S271" s="21"/>
      <c r="T271" s="21"/>
      <c r="U271" s="21"/>
      <c r="V271" s="21"/>
      <c r="W271" s="21"/>
      <c r="X271" s="21"/>
      <c r="Y271" s="21"/>
      <c r="Z271" s="21"/>
    </row>
    <row r="272" spans="1:26">
      <c r="A272" s="43">
        <v>265</v>
      </c>
      <c r="B272" s="44" t="str">
        <f t="shared" si="59"/>
        <v>23-й год 1-й мес</v>
      </c>
      <c r="C272" s="45">
        <f t="shared" si="65"/>
        <v>49258</v>
      </c>
      <c r="D272" s="46">
        <f t="shared" si="55"/>
        <v>0</v>
      </c>
      <c r="E272" s="47">
        <f t="shared" si="60"/>
        <v>0</v>
      </c>
      <c r="F272" s="47">
        <f t="shared" si="66"/>
        <v>0</v>
      </c>
      <c r="G272" s="48">
        <f t="shared" si="61"/>
        <v>0</v>
      </c>
      <c r="H272" s="49">
        <f t="shared" si="56"/>
        <v>0</v>
      </c>
      <c r="I272" s="47">
        <f t="shared" si="67"/>
        <v>0</v>
      </c>
      <c r="J272" s="47">
        <f t="shared" si="62"/>
        <v>0</v>
      </c>
      <c r="K272" s="50">
        <f t="shared" si="63"/>
        <v>0</v>
      </c>
      <c r="L272" s="63"/>
      <c r="M272" s="67"/>
      <c r="N272" s="51">
        <f t="shared" si="57"/>
        <v>7</v>
      </c>
      <c r="O272" s="19">
        <f t="shared" si="64"/>
        <v>10</v>
      </c>
      <c r="P272" s="20">
        <f t="shared" si="58"/>
        <v>0</v>
      </c>
      <c r="Q272" s="21"/>
      <c r="R272" s="21"/>
      <c r="S272" s="21"/>
      <c r="T272" s="21"/>
      <c r="U272" s="21"/>
      <c r="V272" s="21"/>
      <c r="W272" s="21"/>
      <c r="X272" s="21"/>
      <c r="Y272" s="21"/>
      <c r="Z272" s="21"/>
    </row>
    <row r="273" spans="1:26">
      <c r="A273" s="43">
        <v>266</v>
      </c>
      <c r="B273" s="44" t="str">
        <f t="shared" si="59"/>
        <v>23-й год 2-й мес</v>
      </c>
      <c r="C273" s="45">
        <f t="shared" si="65"/>
        <v>49288</v>
      </c>
      <c r="D273" s="46">
        <f t="shared" si="55"/>
        <v>0</v>
      </c>
      <c r="E273" s="47">
        <f t="shared" si="60"/>
        <v>0</v>
      </c>
      <c r="F273" s="47">
        <f t="shared" si="66"/>
        <v>0</v>
      </c>
      <c r="G273" s="48">
        <f t="shared" si="61"/>
        <v>0</v>
      </c>
      <c r="H273" s="49">
        <f t="shared" si="56"/>
        <v>0</v>
      </c>
      <c r="I273" s="47">
        <f t="shared" si="67"/>
        <v>0</v>
      </c>
      <c r="J273" s="47">
        <f t="shared" si="62"/>
        <v>0</v>
      </c>
      <c r="K273" s="50">
        <f t="shared" si="63"/>
        <v>0</v>
      </c>
      <c r="L273" s="63"/>
      <c r="M273" s="67"/>
      <c r="N273" s="51">
        <f t="shared" si="57"/>
        <v>7</v>
      </c>
      <c r="O273" s="19">
        <f t="shared" si="64"/>
        <v>10</v>
      </c>
      <c r="P273" s="20">
        <f t="shared" si="58"/>
        <v>0</v>
      </c>
      <c r="Q273" s="21"/>
      <c r="R273" s="21"/>
      <c r="S273" s="21"/>
      <c r="T273" s="21"/>
      <c r="U273" s="21"/>
      <c r="V273" s="21"/>
      <c r="W273" s="21"/>
      <c r="X273" s="21"/>
      <c r="Y273" s="21"/>
      <c r="Z273" s="21"/>
    </row>
    <row r="274" spans="1:26">
      <c r="A274" s="43">
        <v>267</v>
      </c>
      <c r="B274" s="44" t="str">
        <f t="shared" si="59"/>
        <v>23-й год 3-й мес</v>
      </c>
      <c r="C274" s="45">
        <f t="shared" si="65"/>
        <v>49319</v>
      </c>
      <c r="D274" s="46">
        <f t="shared" si="55"/>
        <v>0</v>
      </c>
      <c r="E274" s="47">
        <f t="shared" si="60"/>
        <v>0</v>
      </c>
      <c r="F274" s="47">
        <f t="shared" si="66"/>
        <v>0</v>
      </c>
      <c r="G274" s="48">
        <f t="shared" si="61"/>
        <v>0</v>
      </c>
      <c r="H274" s="49">
        <f t="shared" si="56"/>
        <v>0</v>
      </c>
      <c r="I274" s="47">
        <f t="shared" si="67"/>
        <v>0</v>
      </c>
      <c r="J274" s="47">
        <f t="shared" si="62"/>
        <v>0</v>
      </c>
      <c r="K274" s="50">
        <f t="shared" si="63"/>
        <v>0</v>
      </c>
      <c r="L274" s="63"/>
      <c r="M274" s="67"/>
      <c r="N274" s="51">
        <f t="shared" si="57"/>
        <v>7</v>
      </c>
      <c r="O274" s="19">
        <f t="shared" si="64"/>
        <v>10</v>
      </c>
      <c r="P274" s="20">
        <f t="shared" si="58"/>
        <v>0</v>
      </c>
      <c r="Q274" s="21"/>
      <c r="R274" s="21"/>
      <c r="S274" s="21"/>
      <c r="T274" s="21"/>
      <c r="U274" s="21"/>
      <c r="V274" s="21"/>
      <c r="W274" s="21"/>
      <c r="X274" s="21"/>
      <c r="Y274" s="21"/>
      <c r="Z274" s="21"/>
    </row>
    <row r="275" spans="1:26">
      <c r="A275" s="43">
        <v>268</v>
      </c>
      <c r="B275" s="44" t="str">
        <f t="shared" si="59"/>
        <v>23-й год 4-й мес</v>
      </c>
      <c r="C275" s="45">
        <f t="shared" si="65"/>
        <v>49350</v>
      </c>
      <c r="D275" s="46">
        <f t="shared" si="55"/>
        <v>0</v>
      </c>
      <c r="E275" s="47">
        <f t="shared" si="60"/>
        <v>0</v>
      </c>
      <c r="F275" s="47">
        <f t="shared" si="66"/>
        <v>0</v>
      </c>
      <c r="G275" s="48">
        <f t="shared" si="61"/>
        <v>0</v>
      </c>
      <c r="H275" s="49">
        <f t="shared" si="56"/>
        <v>0</v>
      </c>
      <c r="I275" s="47">
        <f t="shared" si="67"/>
        <v>0</v>
      </c>
      <c r="J275" s="47">
        <f t="shared" si="62"/>
        <v>0</v>
      </c>
      <c r="K275" s="50">
        <f t="shared" si="63"/>
        <v>0</v>
      </c>
      <c r="L275" s="63"/>
      <c r="M275" s="67"/>
      <c r="N275" s="51">
        <f t="shared" si="57"/>
        <v>7</v>
      </c>
      <c r="O275" s="19">
        <f t="shared" si="64"/>
        <v>10</v>
      </c>
      <c r="P275" s="20">
        <f t="shared" si="58"/>
        <v>0</v>
      </c>
      <c r="Q275" s="21"/>
      <c r="R275" s="21"/>
      <c r="S275" s="21"/>
      <c r="T275" s="21"/>
      <c r="U275" s="21"/>
      <c r="V275" s="21"/>
      <c r="W275" s="21"/>
      <c r="X275" s="21"/>
      <c r="Y275" s="21"/>
      <c r="Z275" s="21"/>
    </row>
    <row r="276" spans="1:26">
      <c r="A276" s="43">
        <v>269</v>
      </c>
      <c r="B276" s="44" t="str">
        <f t="shared" si="59"/>
        <v>23-й год 5-й мес</v>
      </c>
      <c r="C276" s="45">
        <f t="shared" si="65"/>
        <v>49378</v>
      </c>
      <c r="D276" s="46">
        <f t="shared" si="55"/>
        <v>0</v>
      </c>
      <c r="E276" s="47">
        <f t="shared" si="60"/>
        <v>0</v>
      </c>
      <c r="F276" s="47">
        <f t="shared" si="66"/>
        <v>0</v>
      </c>
      <c r="G276" s="48">
        <f t="shared" si="61"/>
        <v>0</v>
      </c>
      <c r="H276" s="49">
        <f t="shared" si="56"/>
        <v>0</v>
      </c>
      <c r="I276" s="47">
        <f t="shared" si="67"/>
        <v>0</v>
      </c>
      <c r="J276" s="47">
        <f t="shared" si="62"/>
        <v>0</v>
      </c>
      <c r="K276" s="50">
        <f t="shared" si="63"/>
        <v>0</v>
      </c>
      <c r="L276" s="63"/>
      <c r="M276" s="67"/>
      <c r="N276" s="51">
        <f t="shared" si="57"/>
        <v>7</v>
      </c>
      <c r="O276" s="19">
        <f t="shared" si="64"/>
        <v>10</v>
      </c>
      <c r="P276" s="20">
        <f t="shared" si="58"/>
        <v>0</v>
      </c>
      <c r="Q276" s="21"/>
      <c r="R276" s="21"/>
      <c r="S276" s="21"/>
      <c r="T276" s="21"/>
      <c r="U276" s="21"/>
      <c r="V276" s="21"/>
      <c r="W276" s="21"/>
      <c r="X276" s="21"/>
      <c r="Y276" s="21"/>
      <c r="Z276" s="21"/>
    </row>
    <row r="277" spans="1:26">
      <c r="A277" s="43">
        <v>270</v>
      </c>
      <c r="B277" s="44" t="str">
        <f t="shared" si="59"/>
        <v>23-й год 6-й мес</v>
      </c>
      <c r="C277" s="45">
        <f t="shared" si="65"/>
        <v>49409</v>
      </c>
      <c r="D277" s="46">
        <f t="shared" si="55"/>
        <v>0</v>
      </c>
      <c r="E277" s="47">
        <f t="shared" si="60"/>
        <v>0</v>
      </c>
      <c r="F277" s="47">
        <f t="shared" si="66"/>
        <v>0</v>
      </c>
      <c r="G277" s="48">
        <f t="shared" si="61"/>
        <v>0</v>
      </c>
      <c r="H277" s="49">
        <f t="shared" si="56"/>
        <v>0</v>
      </c>
      <c r="I277" s="47">
        <f t="shared" si="67"/>
        <v>0</v>
      </c>
      <c r="J277" s="47">
        <f t="shared" si="62"/>
        <v>0</v>
      </c>
      <c r="K277" s="50">
        <f t="shared" si="63"/>
        <v>0</v>
      </c>
      <c r="L277" s="63"/>
      <c r="M277" s="67"/>
      <c r="N277" s="51">
        <f t="shared" si="57"/>
        <v>7</v>
      </c>
      <c r="O277" s="19">
        <f t="shared" si="64"/>
        <v>10</v>
      </c>
      <c r="P277" s="20">
        <f t="shared" si="58"/>
        <v>0</v>
      </c>
      <c r="Q277" s="21"/>
      <c r="R277" s="21"/>
      <c r="S277" s="21"/>
      <c r="T277" s="21"/>
      <c r="U277" s="21"/>
      <c r="V277" s="21"/>
      <c r="W277" s="21"/>
      <c r="X277" s="21"/>
      <c r="Y277" s="21"/>
      <c r="Z277" s="21"/>
    </row>
    <row r="278" spans="1:26">
      <c r="A278" s="43">
        <v>271</v>
      </c>
      <c r="B278" s="44" t="str">
        <f t="shared" si="59"/>
        <v>23-й год 7-й мес</v>
      </c>
      <c r="C278" s="45">
        <f t="shared" si="65"/>
        <v>49439</v>
      </c>
      <c r="D278" s="46">
        <f t="shared" si="55"/>
        <v>0</v>
      </c>
      <c r="E278" s="47">
        <f t="shared" si="60"/>
        <v>0</v>
      </c>
      <c r="F278" s="47">
        <f t="shared" si="66"/>
        <v>0</v>
      </c>
      <c r="G278" s="48">
        <f t="shared" si="61"/>
        <v>0</v>
      </c>
      <c r="H278" s="49">
        <f t="shared" si="56"/>
        <v>0</v>
      </c>
      <c r="I278" s="47">
        <f t="shared" si="67"/>
        <v>0</v>
      </c>
      <c r="J278" s="47">
        <f t="shared" si="62"/>
        <v>0</v>
      </c>
      <c r="K278" s="50">
        <f t="shared" si="63"/>
        <v>0</v>
      </c>
      <c r="L278" s="63"/>
      <c r="M278" s="67"/>
      <c r="N278" s="51">
        <f t="shared" si="57"/>
        <v>7</v>
      </c>
      <c r="O278" s="19">
        <f t="shared" si="64"/>
        <v>10</v>
      </c>
      <c r="P278" s="20">
        <f t="shared" si="58"/>
        <v>0</v>
      </c>
      <c r="Q278" s="21"/>
      <c r="R278" s="21"/>
      <c r="S278" s="21"/>
      <c r="T278" s="21"/>
      <c r="U278" s="21"/>
      <c r="V278" s="21"/>
      <c r="W278" s="21"/>
      <c r="X278" s="21"/>
      <c r="Y278" s="21"/>
      <c r="Z278" s="21"/>
    </row>
    <row r="279" spans="1:26">
      <c r="A279" s="43">
        <v>272</v>
      </c>
      <c r="B279" s="44" t="str">
        <f t="shared" si="59"/>
        <v>23-й год 8-й мес</v>
      </c>
      <c r="C279" s="45">
        <f t="shared" si="65"/>
        <v>49470</v>
      </c>
      <c r="D279" s="46">
        <f t="shared" si="55"/>
        <v>0</v>
      </c>
      <c r="E279" s="47">
        <f t="shared" si="60"/>
        <v>0</v>
      </c>
      <c r="F279" s="47">
        <f t="shared" si="66"/>
        <v>0</v>
      </c>
      <c r="G279" s="48">
        <f t="shared" si="61"/>
        <v>0</v>
      </c>
      <c r="H279" s="49">
        <f t="shared" si="56"/>
        <v>0</v>
      </c>
      <c r="I279" s="47">
        <f t="shared" si="67"/>
        <v>0</v>
      </c>
      <c r="J279" s="47">
        <f t="shared" si="62"/>
        <v>0</v>
      </c>
      <c r="K279" s="50">
        <f t="shared" si="63"/>
        <v>0</v>
      </c>
      <c r="L279" s="63"/>
      <c r="M279" s="67"/>
      <c r="N279" s="51">
        <f t="shared" si="57"/>
        <v>7</v>
      </c>
      <c r="O279" s="19">
        <f t="shared" si="64"/>
        <v>10</v>
      </c>
      <c r="P279" s="20">
        <f t="shared" si="58"/>
        <v>0</v>
      </c>
      <c r="Q279" s="21"/>
      <c r="R279" s="21"/>
      <c r="S279" s="21"/>
      <c r="T279" s="21"/>
      <c r="U279" s="21"/>
      <c r="V279" s="21"/>
      <c r="W279" s="21"/>
      <c r="X279" s="21"/>
      <c r="Y279" s="21"/>
      <c r="Z279" s="21"/>
    </row>
    <row r="280" spans="1:26">
      <c r="A280" s="43">
        <v>273</v>
      </c>
      <c r="B280" s="44" t="str">
        <f t="shared" si="59"/>
        <v>23-й год 9-й мес</v>
      </c>
      <c r="C280" s="45">
        <f t="shared" si="65"/>
        <v>49500</v>
      </c>
      <c r="D280" s="46">
        <f t="shared" si="55"/>
        <v>0</v>
      </c>
      <c r="E280" s="47">
        <f t="shared" si="60"/>
        <v>0</v>
      </c>
      <c r="F280" s="47">
        <f t="shared" si="66"/>
        <v>0</v>
      </c>
      <c r="G280" s="48">
        <f t="shared" si="61"/>
        <v>0</v>
      </c>
      <c r="H280" s="49">
        <f t="shared" si="56"/>
        <v>0</v>
      </c>
      <c r="I280" s="47">
        <f t="shared" si="67"/>
        <v>0</v>
      </c>
      <c r="J280" s="47">
        <f t="shared" si="62"/>
        <v>0</v>
      </c>
      <c r="K280" s="50">
        <f t="shared" si="63"/>
        <v>0</v>
      </c>
      <c r="L280" s="63"/>
      <c r="M280" s="67"/>
      <c r="N280" s="51">
        <f t="shared" si="57"/>
        <v>7</v>
      </c>
      <c r="O280" s="19">
        <f t="shared" si="64"/>
        <v>10</v>
      </c>
      <c r="P280" s="20">
        <f t="shared" si="58"/>
        <v>0</v>
      </c>
      <c r="Q280" s="21"/>
      <c r="R280" s="21"/>
      <c r="S280" s="21"/>
      <c r="T280" s="21"/>
      <c r="U280" s="21"/>
      <c r="V280" s="21"/>
      <c r="W280" s="21"/>
      <c r="X280" s="21"/>
      <c r="Y280" s="21"/>
      <c r="Z280" s="21"/>
    </row>
    <row r="281" spans="1:26">
      <c r="A281" s="43">
        <v>274</v>
      </c>
      <c r="B281" s="44" t="str">
        <f t="shared" si="59"/>
        <v>23-й год 10-й мес</v>
      </c>
      <c r="C281" s="45">
        <f t="shared" si="65"/>
        <v>49531</v>
      </c>
      <c r="D281" s="46">
        <f t="shared" si="55"/>
        <v>0</v>
      </c>
      <c r="E281" s="47">
        <f t="shared" si="60"/>
        <v>0</v>
      </c>
      <c r="F281" s="47">
        <f t="shared" si="66"/>
        <v>0</v>
      </c>
      <c r="G281" s="48">
        <f t="shared" si="61"/>
        <v>0</v>
      </c>
      <c r="H281" s="49">
        <f t="shared" si="56"/>
        <v>0</v>
      </c>
      <c r="I281" s="47">
        <f t="shared" si="67"/>
        <v>0</v>
      </c>
      <c r="J281" s="47">
        <f t="shared" si="62"/>
        <v>0</v>
      </c>
      <c r="K281" s="50">
        <f t="shared" si="63"/>
        <v>0</v>
      </c>
      <c r="L281" s="63"/>
      <c r="M281" s="67"/>
      <c r="N281" s="51">
        <f t="shared" si="57"/>
        <v>7</v>
      </c>
      <c r="O281" s="19">
        <f t="shared" si="64"/>
        <v>10</v>
      </c>
      <c r="P281" s="20">
        <f t="shared" si="58"/>
        <v>0</v>
      </c>
      <c r="Q281" s="21"/>
      <c r="R281" s="21"/>
      <c r="S281" s="21"/>
      <c r="T281" s="21"/>
      <c r="U281" s="21"/>
      <c r="V281" s="21"/>
      <c r="W281" s="21"/>
      <c r="X281" s="21"/>
      <c r="Y281" s="21"/>
      <c r="Z281" s="21"/>
    </row>
    <row r="282" spans="1:26">
      <c r="A282" s="43">
        <v>275</v>
      </c>
      <c r="B282" s="44" t="str">
        <f t="shared" si="59"/>
        <v>23-й год 11-й мес</v>
      </c>
      <c r="C282" s="45">
        <f t="shared" si="65"/>
        <v>49562</v>
      </c>
      <c r="D282" s="46">
        <f t="shared" si="55"/>
        <v>0</v>
      </c>
      <c r="E282" s="47">
        <f t="shared" si="60"/>
        <v>0</v>
      </c>
      <c r="F282" s="47">
        <f t="shared" si="66"/>
        <v>0</v>
      </c>
      <c r="G282" s="48">
        <f t="shared" si="61"/>
        <v>0</v>
      </c>
      <c r="H282" s="49">
        <f t="shared" si="56"/>
        <v>0</v>
      </c>
      <c r="I282" s="47">
        <f t="shared" si="67"/>
        <v>0</v>
      </c>
      <c r="J282" s="47">
        <f t="shared" si="62"/>
        <v>0</v>
      </c>
      <c r="K282" s="50">
        <f t="shared" si="63"/>
        <v>0</v>
      </c>
      <c r="L282" s="63"/>
      <c r="M282" s="67"/>
      <c r="N282" s="51">
        <f t="shared" si="57"/>
        <v>7</v>
      </c>
      <c r="O282" s="19">
        <f t="shared" si="64"/>
        <v>10</v>
      </c>
      <c r="P282" s="20">
        <f t="shared" si="58"/>
        <v>0</v>
      </c>
      <c r="Q282" s="21"/>
      <c r="R282" s="21"/>
      <c r="S282" s="21"/>
      <c r="T282" s="21"/>
      <c r="U282" s="21"/>
      <c r="V282" s="21"/>
      <c r="W282" s="21"/>
      <c r="X282" s="21"/>
      <c r="Y282" s="21"/>
      <c r="Z282" s="21"/>
    </row>
    <row r="283" spans="1:26">
      <c r="A283" s="43">
        <v>276</v>
      </c>
      <c r="B283" s="44" t="str">
        <f t="shared" si="59"/>
        <v>23-й год 12-й мес</v>
      </c>
      <c r="C283" s="45">
        <f t="shared" si="65"/>
        <v>49592</v>
      </c>
      <c r="D283" s="46">
        <f t="shared" si="55"/>
        <v>0</v>
      </c>
      <c r="E283" s="47">
        <f t="shared" si="60"/>
        <v>0</v>
      </c>
      <c r="F283" s="47">
        <f t="shared" si="66"/>
        <v>0</v>
      </c>
      <c r="G283" s="48">
        <f t="shared" si="61"/>
        <v>0</v>
      </c>
      <c r="H283" s="49">
        <f t="shared" si="56"/>
        <v>0</v>
      </c>
      <c r="I283" s="47">
        <f t="shared" si="67"/>
        <v>0</v>
      </c>
      <c r="J283" s="47">
        <f t="shared" si="62"/>
        <v>0</v>
      </c>
      <c r="K283" s="50">
        <f t="shared" si="63"/>
        <v>0</v>
      </c>
      <c r="L283" s="63"/>
      <c r="M283" s="67"/>
      <c r="N283" s="51">
        <f t="shared" si="57"/>
        <v>7</v>
      </c>
      <c r="O283" s="19">
        <f t="shared" si="64"/>
        <v>10</v>
      </c>
      <c r="P283" s="20">
        <f t="shared" si="58"/>
        <v>0</v>
      </c>
      <c r="Q283" s="21"/>
      <c r="R283" s="21"/>
      <c r="S283" s="21"/>
      <c r="T283" s="21"/>
      <c r="U283" s="21"/>
      <c r="V283" s="21"/>
      <c r="W283" s="21"/>
      <c r="X283" s="21"/>
      <c r="Y283" s="21"/>
      <c r="Z283" s="21"/>
    </row>
    <row r="284" spans="1:26">
      <c r="A284" s="52">
        <v>277</v>
      </c>
      <c r="B284" s="44" t="str">
        <f t="shared" si="59"/>
        <v>24-й год 1-й мес</v>
      </c>
      <c r="C284" s="45">
        <f t="shared" si="65"/>
        <v>49623</v>
      </c>
      <c r="D284" s="46">
        <f t="shared" si="55"/>
        <v>0</v>
      </c>
      <c r="E284" s="53">
        <f t="shared" si="60"/>
        <v>0</v>
      </c>
      <c r="F284" s="47">
        <f t="shared" si="66"/>
        <v>0</v>
      </c>
      <c r="G284" s="54">
        <f t="shared" si="61"/>
        <v>0</v>
      </c>
      <c r="H284" s="55">
        <f t="shared" si="56"/>
        <v>0</v>
      </c>
      <c r="I284" s="53">
        <f t="shared" si="67"/>
        <v>0</v>
      </c>
      <c r="J284" s="53">
        <f t="shared" si="62"/>
        <v>0</v>
      </c>
      <c r="K284" s="56">
        <f t="shared" si="63"/>
        <v>0</v>
      </c>
      <c r="L284" s="65"/>
      <c r="M284" s="64"/>
      <c r="N284" s="51">
        <f t="shared" si="57"/>
        <v>7</v>
      </c>
      <c r="O284" s="19">
        <f t="shared" si="64"/>
        <v>10</v>
      </c>
      <c r="P284" s="20">
        <f t="shared" si="58"/>
        <v>0</v>
      </c>
      <c r="Q284" s="21"/>
      <c r="R284" s="21"/>
      <c r="S284" s="21"/>
      <c r="T284" s="21"/>
      <c r="U284" s="21"/>
      <c r="V284" s="21"/>
      <c r="W284" s="21"/>
      <c r="X284" s="21"/>
      <c r="Y284" s="21"/>
      <c r="Z284" s="21"/>
    </row>
    <row r="285" spans="1:26">
      <c r="A285" s="57">
        <v>278</v>
      </c>
      <c r="B285" s="44" t="str">
        <f t="shared" si="59"/>
        <v>24-й год 2-й мес</v>
      </c>
      <c r="C285" s="45">
        <f t="shared" si="65"/>
        <v>49653</v>
      </c>
      <c r="D285" s="46">
        <f t="shared" si="55"/>
        <v>0</v>
      </c>
      <c r="E285" s="47">
        <f t="shared" si="60"/>
        <v>0</v>
      </c>
      <c r="F285" s="47">
        <f t="shared" si="66"/>
        <v>0</v>
      </c>
      <c r="G285" s="48">
        <f t="shared" si="61"/>
        <v>0</v>
      </c>
      <c r="H285" s="49">
        <f t="shared" si="56"/>
        <v>0</v>
      </c>
      <c r="I285" s="47">
        <f t="shared" si="67"/>
        <v>0</v>
      </c>
      <c r="J285" s="47">
        <f t="shared" si="62"/>
        <v>0</v>
      </c>
      <c r="K285" s="50">
        <f t="shared" si="63"/>
        <v>0</v>
      </c>
      <c r="L285" s="63"/>
      <c r="M285" s="67"/>
      <c r="N285" s="51">
        <f t="shared" si="57"/>
        <v>7</v>
      </c>
      <c r="O285" s="19">
        <f t="shared" si="64"/>
        <v>10</v>
      </c>
      <c r="P285" s="20">
        <f t="shared" si="58"/>
        <v>0</v>
      </c>
      <c r="Q285" s="21"/>
      <c r="R285" s="21"/>
      <c r="S285" s="21"/>
      <c r="T285" s="21"/>
      <c r="U285" s="21"/>
      <c r="V285" s="21"/>
      <c r="W285" s="21"/>
      <c r="X285" s="21"/>
      <c r="Y285" s="21"/>
      <c r="Z285" s="21"/>
    </row>
    <row r="286" spans="1:26">
      <c r="A286" s="57">
        <v>279</v>
      </c>
      <c r="B286" s="44" t="str">
        <f t="shared" si="59"/>
        <v>24-й год 3-й мес</v>
      </c>
      <c r="C286" s="45">
        <f t="shared" si="65"/>
        <v>49684</v>
      </c>
      <c r="D286" s="46">
        <f t="shared" si="55"/>
        <v>0</v>
      </c>
      <c r="E286" s="47">
        <f t="shared" si="60"/>
        <v>0</v>
      </c>
      <c r="F286" s="47">
        <f t="shared" si="66"/>
        <v>0</v>
      </c>
      <c r="G286" s="48">
        <f t="shared" si="61"/>
        <v>0</v>
      </c>
      <c r="H286" s="49">
        <f t="shared" si="56"/>
        <v>0</v>
      </c>
      <c r="I286" s="47">
        <f t="shared" si="67"/>
        <v>0</v>
      </c>
      <c r="J286" s="47">
        <f t="shared" si="62"/>
        <v>0</v>
      </c>
      <c r="K286" s="50">
        <f t="shared" si="63"/>
        <v>0</v>
      </c>
      <c r="L286" s="63"/>
      <c r="M286" s="67"/>
      <c r="N286" s="51">
        <f t="shared" si="57"/>
        <v>7</v>
      </c>
      <c r="O286" s="19">
        <f t="shared" si="64"/>
        <v>10</v>
      </c>
      <c r="P286" s="20">
        <f t="shared" si="58"/>
        <v>0</v>
      </c>
      <c r="Q286" s="21"/>
      <c r="R286" s="21"/>
      <c r="S286" s="21"/>
      <c r="T286" s="21"/>
      <c r="U286" s="21"/>
      <c r="V286" s="21"/>
      <c r="W286" s="21"/>
      <c r="X286" s="21"/>
      <c r="Y286" s="21"/>
      <c r="Z286" s="21"/>
    </row>
    <row r="287" spans="1:26">
      <c r="A287" s="57">
        <v>280</v>
      </c>
      <c r="B287" s="44" t="str">
        <f t="shared" si="59"/>
        <v>24-й год 4-й мес</v>
      </c>
      <c r="C287" s="45">
        <f t="shared" si="65"/>
        <v>49715</v>
      </c>
      <c r="D287" s="46">
        <f t="shared" si="55"/>
        <v>0</v>
      </c>
      <c r="E287" s="47">
        <f t="shared" si="60"/>
        <v>0</v>
      </c>
      <c r="F287" s="47">
        <f t="shared" si="66"/>
        <v>0</v>
      </c>
      <c r="G287" s="48">
        <f t="shared" si="61"/>
        <v>0</v>
      </c>
      <c r="H287" s="49">
        <f t="shared" si="56"/>
        <v>0</v>
      </c>
      <c r="I287" s="47">
        <f t="shared" si="67"/>
        <v>0</v>
      </c>
      <c r="J287" s="47">
        <f t="shared" si="62"/>
        <v>0</v>
      </c>
      <c r="K287" s="50">
        <f t="shared" si="63"/>
        <v>0</v>
      </c>
      <c r="L287" s="63"/>
      <c r="M287" s="67"/>
      <c r="N287" s="51">
        <f t="shared" si="57"/>
        <v>7</v>
      </c>
      <c r="O287" s="19">
        <f t="shared" si="64"/>
        <v>10</v>
      </c>
      <c r="P287" s="20">
        <f t="shared" si="58"/>
        <v>0</v>
      </c>
      <c r="Q287" s="21"/>
      <c r="R287" s="21"/>
      <c r="S287" s="21"/>
      <c r="T287" s="21"/>
      <c r="U287" s="21"/>
      <c r="V287" s="21"/>
      <c r="W287" s="21"/>
      <c r="X287" s="21"/>
      <c r="Y287" s="21"/>
      <c r="Z287" s="21"/>
    </row>
    <row r="288" spans="1:26">
      <c r="A288" s="57">
        <v>281</v>
      </c>
      <c r="B288" s="44" t="str">
        <f t="shared" si="59"/>
        <v>24-й год 5-й мес</v>
      </c>
      <c r="C288" s="45">
        <f t="shared" si="65"/>
        <v>49744</v>
      </c>
      <c r="D288" s="46">
        <f t="shared" si="55"/>
        <v>0</v>
      </c>
      <c r="E288" s="47">
        <f t="shared" si="60"/>
        <v>0</v>
      </c>
      <c r="F288" s="47">
        <f t="shared" si="66"/>
        <v>0</v>
      </c>
      <c r="G288" s="48">
        <f t="shared" si="61"/>
        <v>0</v>
      </c>
      <c r="H288" s="49">
        <f t="shared" si="56"/>
        <v>0</v>
      </c>
      <c r="I288" s="47">
        <f t="shared" si="67"/>
        <v>0</v>
      </c>
      <c r="J288" s="47">
        <f t="shared" si="62"/>
        <v>0</v>
      </c>
      <c r="K288" s="50">
        <f t="shared" si="63"/>
        <v>0</v>
      </c>
      <c r="L288" s="63"/>
      <c r="M288" s="67"/>
      <c r="N288" s="51">
        <f t="shared" si="57"/>
        <v>7</v>
      </c>
      <c r="O288" s="19">
        <f t="shared" si="64"/>
        <v>10</v>
      </c>
      <c r="P288" s="20">
        <f t="shared" si="58"/>
        <v>0</v>
      </c>
      <c r="Q288" s="21"/>
      <c r="R288" s="21"/>
      <c r="S288" s="21"/>
      <c r="T288" s="21"/>
      <c r="U288" s="21"/>
      <c r="V288" s="21"/>
      <c r="W288" s="21"/>
      <c r="X288" s="21"/>
      <c r="Y288" s="21"/>
      <c r="Z288" s="21"/>
    </row>
    <row r="289" spans="1:26">
      <c r="A289" s="57">
        <v>282</v>
      </c>
      <c r="B289" s="44" t="str">
        <f t="shared" si="59"/>
        <v>24-й год 6-й мес</v>
      </c>
      <c r="C289" s="45">
        <f t="shared" si="65"/>
        <v>49775</v>
      </c>
      <c r="D289" s="46">
        <f t="shared" si="55"/>
        <v>0</v>
      </c>
      <c r="E289" s="47">
        <f t="shared" si="60"/>
        <v>0</v>
      </c>
      <c r="F289" s="47">
        <f t="shared" si="66"/>
        <v>0</v>
      </c>
      <c r="G289" s="48">
        <f t="shared" si="61"/>
        <v>0</v>
      </c>
      <c r="H289" s="49">
        <f t="shared" si="56"/>
        <v>0</v>
      </c>
      <c r="I289" s="47">
        <f t="shared" si="67"/>
        <v>0</v>
      </c>
      <c r="J289" s="47">
        <f t="shared" si="62"/>
        <v>0</v>
      </c>
      <c r="K289" s="50">
        <f t="shared" si="63"/>
        <v>0</v>
      </c>
      <c r="L289" s="63"/>
      <c r="M289" s="67"/>
      <c r="N289" s="51">
        <f t="shared" si="57"/>
        <v>7</v>
      </c>
      <c r="O289" s="19">
        <f t="shared" si="64"/>
        <v>10</v>
      </c>
      <c r="P289" s="20">
        <f t="shared" si="58"/>
        <v>0</v>
      </c>
      <c r="Q289" s="21"/>
      <c r="R289" s="21"/>
      <c r="S289" s="21"/>
      <c r="T289" s="21"/>
      <c r="U289" s="21"/>
      <c r="V289" s="21"/>
      <c r="W289" s="21"/>
      <c r="X289" s="21"/>
      <c r="Y289" s="21"/>
      <c r="Z289" s="21"/>
    </row>
    <row r="290" spans="1:26">
      <c r="A290" s="57">
        <v>283</v>
      </c>
      <c r="B290" s="44" t="str">
        <f t="shared" si="59"/>
        <v>24-й год 7-й мес</v>
      </c>
      <c r="C290" s="45">
        <f t="shared" si="65"/>
        <v>49805</v>
      </c>
      <c r="D290" s="46">
        <f t="shared" si="55"/>
        <v>0</v>
      </c>
      <c r="E290" s="47">
        <f t="shared" si="60"/>
        <v>0</v>
      </c>
      <c r="F290" s="47">
        <f t="shared" si="66"/>
        <v>0</v>
      </c>
      <c r="G290" s="48">
        <f t="shared" si="61"/>
        <v>0</v>
      </c>
      <c r="H290" s="49">
        <f t="shared" si="56"/>
        <v>0</v>
      </c>
      <c r="I290" s="47">
        <f t="shared" si="67"/>
        <v>0</v>
      </c>
      <c r="J290" s="47">
        <f t="shared" si="62"/>
        <v>0</v>
      </c>
      <c r="K290" s="50">
        <f t="shared" si="63"/>
        <v>0</v>
      </c>
      <c r="L290" s="63"/>
      <c r="M290" s="67"/>
      <c r="N290" s="51">
        <f t="shared" si="57"/>
        <v>7</v>
      </c>
      <c r="O290" s="19">
        <f t="shared" si="64"/>
        <v>10</v>
      </c>
      <c r="P290" s="20">
        <f t="shared" si="58"/>
        <v>0</v>
      </c>
      <c r="Q290" s="21"/>
      <c r="R290" s="21"/>
      <c r="S290" s="21"/>
      <c r="T290" s="21"/>
      <c r="U290" s="21"/>
      <c r="V290" s="21"/>
      <c r="W290" s="21"/>
      <c r="X290" s="21"/>
      <c r="Y290" s="21"/>
      <c r="Z290" s="21"/>
    </row>
    <row r="291" spans="1:26">
      <c r="A291" s="57">
        <v>284</v>
      </c>
      <c r="B291" s="44" t="str">
        <f t="shared" si="59"/>
        <v>24-й год 8-й мес</v>
      </c>
      <c r="C291" s="45">
        <f t="shared" si="65"/>
        <v>49836</v>
      </c>
      <c r="D291" s="46">
        <f t="shared" si="55"/>
        <v>0</v>
      </c>
      <c r="E291" s="47">
        <f t="shared" si="60"/>
        <v>0</v>
      </c>
      <c r="F291" s="47">
        <f t="shared" si="66"/>
        <v>0</v>
      </c>
      <c r="G291" s="48">
        <f t="shared" si="61"/>
        <v>0</v>
      </c>
      <c r="H291" s="49">
        <f t="shared" si="56"/>
        <v>0</v>
      </c>
      <c r="I291" s="47">
        <f t="shared" si="67"/>
        <v>0</v>
      </c>
      <c r="J291" s="47">
        <f t="shared" si="62"/>
        <v>0</v>
      </c>
      <c r="K291" s="50">
        <f t="shared" si="63"/>
        <v>0</v>
      </c>
      <c r="L291" s="63"/>
      <c r="M291" s="67"/>
      <c r="N291" s="51">
        <f t="shared" si="57"/>
        <v>7</v>
      </c>
      <c r="O291" s="19">
        <f t="shared" si="64"/>
        <v>10</v>
      </c>
      <c r="P291" s="20">
        <f t="shared" si="58"/>
        <v>0</v>
      </c>
      <c r="Q291" s="21"/>
      <c r="R291" s="21"/>
      <c r="S291" s="21"/>
      <c r="T291" s="21"/>
      <c r="U291" s="21"/>
      <c r="V291" s="21"/>
      <c r="W291" s="21"/>
      <c r="X291" s="21"/>
      <c r="Y291" s="21"/>
      <c r="Z291" s="21"/>
    </row>
    <row r="292" spans="1:26">
      <c r="A292" s="57">
        <v>285</v>
      </c>
      <c r="B292" s="44" t="str">
        <f t="shared" si="59"/>
        <v>24-й год 9-й мес</v>
      </c>
      <c r="C292" s="45">
        <f t="shared" si="65"/>
        <v>49866</v>
      </c>
      <c r="D292" s="46">
        <f t="shared" si="55"/>
        <v>0</v>
      </c>
      <c r="E292" s="47">
        <f t="shared" si="60"/>
        <v>0</v>
      </c>
      <c r="F292" s="47">
        <f t="shared" si="66"/>
        <v>0</v>
      </c>
      <c r="G292" s="48">
        <f t="shared" si="61"/>
        <v>0</v>
      </c>
      <c r="H292" s="49">
        <f t="shared" si="56"/>
        <v>0</v>
      </c>
      <c r="I292" s="47">
        <f t="shared" si="67"/>
        <v>0</v>
      </c>
      <c r="J292" s="47">
        <f t="shared" si="62"/>
        <v>0</v>
      </c>
      <c r="K292" s="50">
        <f t="shared" si="63"/>
        <v>0</v>
      </c>
      <c r="L292" s="63"/>
      <c r="M292" s="67"/>
      <c r="N292" s="51">
        <f t="shared" si="57"/>
        <v>7</v>
      </c>
      <c r="O292" s="19">
        <f t="shared" si="64"/>
        <v>10</v>
      </c>
      <c r="P292" s="20">
        <f t="shared" si="58"/>
        <v>0</v>
      </c>
      <c r="Q292" s="21"/>
      <c r="R292" s="21"/>
      <c r="S292" s="21"/>
      <c r="T292" s="21"/>
      <c r="U292" s="21"/>
      <c r="V292" s="21"/>
      <c r="W292" s="21"/>
      <c r="X292" s="21"/>
      <c r="Y292" s="21"/>
      <c r="Z292" s="21"/>
    </row>
    <row r="293" spans="1:26">
      <c r="A293" s="57">
        <v>286</v>
      </c>
      <c r="B293" s="44" t="str">
        <f t="shared" si="59"/>
        <v>24-й год 10-й мес</v>
      </c>
      <c r="C293" s="45">
        <f t="shared" si="65"/>
        <v>49897</v>
      </c>
      <c r="D293" s="46">
        <f t="shared" si="55"/>
        <v>0</v>
      </c>
      <c r="E293" s="47">
        <f t="shared" si="60"/>
        <v>0</v>
      </c>
      <c r="F293" s="47">
        <f t="shared" si="66"/>
        <v>0</v>
      </c>
      <c r="G293" s="48">
        <f t="shared" si="61"/>
        <v>0</v>
      </c>
      <c r="H293" s="49">
        <f t="shared" si="56"/>
        <v>0</v>
      </c>
      <c r="I293" s="47">
        <f t="shared" si="67"/>
        <v>0</v>
      </c>
      <c r="J293" s="47">
        <f t="shared" si="62"/>
        <v>0</v>
      </c>
      <c r="K293" s="50">
        <f t="shared" si="63"/>
        <v>0</v>
      </c>
      <c r="L293" s="63"/>
      <c r="M293" s="67"/>
      <c r="N293" s="51">
        <f t="shared" si="57"/>
        <v>7</v>
      </c>
      <c r="O293" s="19">
        <f t="shared" si="64"/>
        <v>10</v>
      </c>
      <c r="P293" s="20">
        <f t="shared" si="58"/>
        <v>0</v>
      </c>
      <c r="Q293" s="21"/>
      <c r="R293" s="21"/>
      <c r="S293" s="21"/>
      <c r="T293" s="21"/>
      <c r="U293" s="21"/>
      <c r="V293" s="21"/>
      <c r="W293" s="21"/>
      <c r="X293" s="21"/>
      <c r="Y293" s="21"/>
      <c r="Z293" s="21"/>
    </row>
    <row r="294" spans="1:26">
      <c r="A294" s="57">
        <v>287</v>
      </c>
      <c r="B294" s="44" t="str">
        <f t="shared" si="59"/>
        <v>24-й год 11-й мес</v>
      </c>
      <c r="C294" s="45">
        <f t="shared" si="65"/>
        <v>49928</v>
      </c>
      <c r="D294" s="46">
        <f t="shared" si="55"/>
        <v>0</v>
      </c>
      <c r="E294" s="47">
        <f t="shared" si="60"/>
        <v>0</v>
      </c>
      <c r="F294" s="47">
        <f t="shared" si="66"/>
        <v>0</v>
      </c>
      <c r="G294" s="48">
        <f t="shared" si="61"/>
        <v>0</v>
      </c>
      <c r="H294" s="49">
        <f t="shared" si="56"/>
        <v>0</v>
      </c>
      <c r="I294" s="47">
        <f t="shared" si="67"/>
        <v>0</v>
      </c>
      <c r="J294" s="47">
        <f t="shared" si="62"/>
        <v>0</v>
      </c>
      <c r="K294" s="50">
        <f t="shared" si="63"/>
        <v>0</v>
      </c>
      <c r="L294" s="63"/>
      <c r="M294" s="67"/>
      <c r="N294" s="51">
        <f t="shared" si="57"/>
        <v>7</v>
      </c>
      <c r="O294" s="19">
        <f t="shared" si="64"/>
        <v>10</v>
      </c>
      <c r="P294" s="20">
        <f t="shared" si="58"/>
        <v>0</v>
      </c>
      <c r="Q294" s="21"/>
      <c r="R294" s="21"/>
      <c r="S294" s="21"/>
      <c r="T294" s="21"/>
      <c r="U294" s="21"/>
      <c r="V294" s="21"/>
      <c r="W294" s="21"/>
      <c r="X294" s="21"/>
      <c r="Y294" s="21"/>
      <c r="Z294" s="21"/>
    </row>
    <row r="295" spans="1:26">
      <c r="A295" s="58">
        <v>288</v>
      </c>
      <c r="B295" s="44" t="str">
        <f t="shared" si="59"/>
        <v>24-й год 12-й мес</v>
      </c>
      <c r="C295" s="45">
        <f t="shared" si="65"/>
        <v>49958</v>
      </c>
      <c r="D295" s="46">
        <f t="shared" si="55"/>
        <v>0</v>
      </c>
      <c r="E295" s="59">
        <f t="shared" si="60"/>
        <v>0</v>
      </c>
      <c r="F295" s="47">
        <f t="shared" si="66"/>
        <v>0</v>
      </c>
      <c r="G295" s="60">
        <f t="shared" si="61"/>
        <v>0</v>
      </c>
      <c r="H295" s="61">
        <f t="shared" si="56"/>
        <v>0</v>
      </c>
      <c r="I295" s="59">
        <f t="shared" si="67"/>
        <v>0</v>
      </c>
      <c r="J295" s="59">
        <f t="shared" si="62"/>
        <v>0</v>
      </c>
      <c r="K295" s="62">
        <f t="shared" si="63"/>
        <v>0</v>
      </c>
      <c r="L295" s="66"/>
      <c r="M295" s="68"/>
      <c r="N295" s="51">
        <f t="shared" si="57"/>
        <v>7</v>
      </c>
      <c r="O295" s="19">
        <f t="shared" si="64"/>
        <v>10</v>
      </c>
      <c r="P295" s="20">
        <f t="shared" si="58"/>
        <v>0</v>
      </c>
      <c r="Q295" s="21"/>
      <c r="R295" s="21"/>
      <c r="S295" s="21"/>
      <c r="T295" s="21"/>
      <c r="U295" s="21"/>
      <c r="V295" s="21"/>
      <c r="W295" s="21"/>
      <c r="X295" s="21"/>
      <c r="Y295" s="21"/>
      <c r="Z295" s="21"/>
    </row>
    <row r="296" spans="1:26">
      <c r="A296" s="43">
        <v>289</v>
      </c>
      <c r="B296" s="44" t="str">
        <f t="shared" si="59"/>
        <v>25-й год 1-й мес</v>
      </c>
      <c r="C296" s="45">
        <f t="shared" si="65"/>
        <v>49989</v>
      </c>
      <c r="D296" s="46">
        <f t="shared" si="55"/>
        <v>0</v>
      </c>
      <c r="E296" s="47">
        <f t="shared" si="60"/>
        <v>0</v>
      </c>
      <c r="F296" s="47">
        <f t="shared" si="66"/>
        <v>0</v>
      </c>
      <c r="G296" s="48">
        <f t="shared" si="61"/>
        <v>0</v>
      </c>
      <c r="H296" s="49">
        <f t="shared" si="56"/>
        <v>0</v>
      </c>
      <c r="I296" s="47">
        <f t="shared" si="67"/>
        <v>0</v>
      </c>
      <c r="J296" s="47">
        <f t="shared" si="62"/>
        <v>0</v>
      </c>
      <c r="K296" s="50">
        <f t="shared" si="63"/>
        <v>0</v>
      </c>
      <c r="L296" s="63"/>
      <c r="M296" s="67"/>
      <c r="N296" s="51">
        <f t="shared" si="57"/>
        <v>7</v>
      </c>
      <c r="O296" s="19">
        <f t="shared" si="64"/>
        <v>10</v>
      </c>
      <c r="P296" s="20">
        <f t="shared" si="58"/>
        <v>0</v>
      </c>
      <c r="Q296" s="21"/>
      <c r="R296" s="21"/>
      <c r="S296" s="21"/>
      <c r="T296" s="21"/>
      <c r="U296" s="21"/>
      <c r="V296" s="21"/>
      <c r="W296" s="21"/>
      <c r="X296" s="21"/>
      <c r="Y296" s="21"/>
      <c r="Z296" s="21"/>
    </row>
    <row r="297" spans="1:26">
      <c r="A297" s="43">
        <v>290</v>
      </c>
      <c r="B297" s="44" t="str">
        <f t="shared" si="59"/>
        <v>25-й год 2-й мес</v>
      </c>
      <c r="C297" s="45">
        <f t="shared" si="65"/>
        <v>50019</v>
      </c>
      <c r="D297" s="46">
        <f t="shared" si="55"/>
        <v>0</v>
      </c>
      <c r="E297" s="47">
        <f t="shared" si="60"/>
        <v>0</v>
      </c>
      <c r="F297" s="47">
        <f t="shared" si="66"/>
        <v>0</v>
      </c>
      <c r="G297" s="48">
        <f t="shared" si="61"/>
        <v>0</v>
      </c>
      <c r="H297" s="49">
        <f t="shared" si="56"/>
        <v>0</v>
      </c>
      <c r="I297" s="47">
        <f t="shared" si="67"/>
        <v>0</v>
      </c>
      <c r="J297" s="47">
        <f t="shared" si="62"/>
        <v>0</v>
      </c>
      <c r="K297" s="50">
        <f t="shared" si="63"/>
        <v>0</v>
      </c>
      <c r="L297" s="63"/>
      <c r="M297" s="67"/>
      <c r="N297" s="51">
        <f t="shared" si="57"/>
        <v>7</v>
      </c>
      <c r="O297" s="19">
        <f t="shared" si="64"/>
        <v>10</v>
      </c>
      <c r="P297" s="20">
        <f t="shared" si="58"/>
        <v>0</v>
      </c>
      <c r="Q297" s="21"/>
      <c r="R297" s="21"/>
      <c r="S297" s="21"/>
      <c r="T297" s="21"/>
      <c r="U297" s="21"/>
      <c r="V297" s="21"/>
      <c r="W297" s="21"/>
      <c r="X297" s="21"/>
      <c r="Y297" s="21"/>
      <c r="Z297" s="21"/>
    </row>
    <row r="298" spans="1:26">
      <c r="A298" s="43">
        <v>291</v>
      </c>
      <c r="B298" s="44" t="str">
        <f t="shared" si="59"/>
        <v>25-й год 3-й мес</v>
      </c>
      <c r="C298" s="45">
        <f t="shared" si="65"/>
        <v>50050</v>
      </c>
      <c r="D298" s="46">
        <f t="shared" si="55"/>
        <v>0</v>
      </c>
      <c r="E298" s="47">
        <f t="shared" si="60"/>
        <v>0</v>
      </c>
      <c r="F298" s="47">
        <f t="shared" si="66"/>
        <v>0</v>
      </c>
      <c r="G298" s="48">
        <f t="shared" si="61"/>
        <v>0</v>
      </c>
      <c r="H298" s="49">
        <f t="shared" si="56"/>
        <v>0</v>
      </c>
      <c r="I298" s="47">
        <f t="shared" si="67"/>
        <v>0</v>
      </c>
      <c r="J298" s="47">
        <f t="shared" si="62"/>
        <v>0</v>
      </c>
      <c r="K298" s="50">
        <f t="shared" si="63"/>
        <v>0</v>
      </c>
      <c r="L298" s="63"/>
      <c r="M298" s="67"/>
      <c r="N298" s="51">
        <f t="shared" si="57"/>
        <v>7</v>
      </c>
      <c r="O298" s="19">
        <f t="shared" si="64"/>
        <v>10</v>
      </c>
      <c r="P298" s="20">
        <f t="shared" si="58"/>
        <v>0</v>
      </c>
      <c r="Q298" s="21"/>
      <c r="R298" s="21"/>
      <c r="S298" s="21"/>
      <c r="T298" s="21"/>
      <c r="U298" s="21"/>
      <c r="V298" s="21"/>
      <c r="W298" s="21"/>
      <c r="X298" s="21"/>
      <c r="Y298" s="21"/>
      <c r="Z298" s="21"/>
    </row>
    <row r="299" spans="1:26">
      <c r="A299" s="43">
        <v>292</v>
      </c>
      <c r="B299" s="44" t="str">
        <f t="shared" si="59"/>
        <v>25-й год 4-й мес</v>
      </c>
      <c r="C299" s="45">
        <f t="shared" si="65"/>
        <v>50081</v>
      </c>
      <c r="D299" s="46">
        <f t="shared" si="55"/>
        <v>0</v>
      </c>
      <c r="E299" s="47">
        <f t="shared" si="60"/>
        <v>0</v>
      </c>
      <c r="F299" s="47">
        <f t="shared" si="66"/>
        <v>0</v>
      </c>
      <c r="G299" s="48">
        <f t="shared" si="61"/>
        <v>0</v>
      </c>
      <c r="H299" s="49">
        <f t="shared" si="56"/>
        <v>0</v>
      </c>
      <c r="I299" s="47">
        <f t="shared" si="67"/>
        <v>0</v>
      </c>
      <c r="J299" s="47">
        <f t="shared" si="62"/>
        <v>0</v>
      </c>
      <c r="K299" s="50">
        <f t="shared" si="63"/>
        <v>0</v>
      </c>
      <c r="L299" s="63"/>
      <c r="M299" s="67"/>
      <c r="N299" s="51">
        <f t="shared" si="57"/>
        <v>7</v>
      </c>
      <c r="O299" s="19">
        <f t="shared" si="64"/>
        <v>10</v>
      </c>
      <c r="P299" s="20">
        <f t="shared" si="58"/>
        <v>0</v>
      </c>
      <c r="Q299" s="21"/>
      <c r="R299" s="21"/>
      <c r="S299" s="21"/>
      <c r="T299" s="21"/>
      <c r="U299" s="21"/>
      <c r="V299" s="21"/>
      <c r="W299" s="21"/>
      <c r="X299" s="21"/>
      <c r="Y299" s="21"/>
      <c r="Z299" s="21"/>
    </row>
    <row r="300" spans="1:26">
      <c r="A300" s="43">
        <v>293</v>
      </c>
      <c r="B300" s="44" t="str">
        <f t="shared" si="59"/>
        <v>25-й год 5-й мес</v>
      </c>
      <c r="C300" s="45">
        <f t="shared" si="65"/>
        <v>50109</v>
      </c>
      <c r="D300" s="46">
        <f t="shared" si="55"/>
        <v>0</v>
      </c>
      <c r="E300" s="47">
        <f t="shared" si="60"/>
        <v>0</v>
      </c>
      <c r="F300" s="47">
        <f t="shared" si="66"/>
        <v>0</v>
      </c>
      <c r="G300" s="48">
        <f t="shared" si="61"/>
        <v>0</v>
      </c>
      <c r="H300" s="49">
        <f t="shared" si="56"/>
        <v>0</v>
      </c>
      <c r="I300" s="47">
        <f t="shared" si="67"/>
        <v>0</v>
      </c>
      <c r="J300" s="47">
        <f t="shared" si="62"/>
        <v>0</v>
      </c>
      <c r="K300" s="50">
        <f t="shared" si="63"/>
        <v>0</v>
      </c>
      <c r="L300" s="63"/>
      <c r="M300" s="67"/>
      <c r="N300" s="51">
        <f t="shared" si="57"/>
        <v>7</v>
      </c>
      <c r="O300" s="19">
        <f t="shared" si="64"/>
        <v>10</v>
      </c>
      <c r="P300" s="20">
        <f t="shared" si="58"/>
        <v>0</v>
      </c>
      <c r="Q300" s="21"/>
      <c r="R300" s="21"/>
      <c r="S300" s="21"/>
      <c r="T300" s="21"/>
      <c r="U300" s="21"/>
      <c r="V300" s="21"/>
      <c r="W300" s="21"/>
      <c r="X300" s="21"/>
      <c r="Y300" s="21"/>
      <c r="Z300" s="21"/>
    </row>
    <row r="301" spans="1:26">
      <c r="A301" s="43">
        <v>294</v>
      </c>
      <c r="B301" s="44" t="str">
        <f t="shared" si="59"/>
        <v>25-й год 6-й мес</v>
      </c>
      <c r="C301" s="45">
        <f t="shared" si="65"/>
        <v>50140</v>
      </c>
      <c r="D301" s="46">
        <f t="shared" si="55"/>
        <v>0</v>
      </c>
      <c r="E301" s="47">
        <f t="shared" si="60"/>
        <v>0</v>
      </c>
      <c r="F301" s="47">
        <f t="shared" si="66"/>
        <v>0</v>
      </c>
      <c r="G301" s="48">
        <f t="shared" si="61"/>
        <v>0</v>
      </c>
      <c r="H301" s="49">
        <f t="shared" si="56"/>
        <v>0</v>
      </c>
      <c r="I301" s="47">
        <f t="shared" si="67"/>
        <v>0</v>
      </c>
      <c r="J301" s="47">
        <f t="shared" si="62"/>
        <v>0</v>
      </c>
      <c r="K301" s="50">
        <f t="shared" si="63"/>
        <v>0</v>
      </c>
      <c r="L301" s="63"/>
      <c r="M301" s="67"/>
      <c r="N301" s="51">
        <f t="shared" si="57"/>
        <v>7</v>
      </c>
      <c r="O301" s="19">
        <f t="shared" si="64"/>
        <v>10</v>
      </c>
      <c r="P301" s="20">
        <f t="shared" si="58"/>
        <v>0</v>
      </c>
      <c r="Q301" s="21"/>
      <c r="R301" s="21"/>
      <c r="S301" s="21"/>
      <c r="T301" s="21"/>
      <c r="U301" s="21"/>
      <c r="V301" s="21"/>
      <c r="W301" s="21"/>
      <c r="X301" s="21"/>
      <c r="Y301" s="21"/>
      <c r="Z301" s="21"/>
    </row>
    <row r="302" spans="1:26">
      <c r="A302" s="43">
        <v>295</v>
      </c>
      <c r="B302" s="44" t="str">
        <f t="shared" si="59"/>
        <v>25-й год 7-й мес</v>
      </c>
      <c r="C302" s="45">
        <f t="shared" si="65"/>
        <v>50170</v>
      </c>
      <c r="D302" s="46">
        <f t="shared" si="55"/>
        <v>0</v>
      </c>
      <c r="E302" s="47">
        <f t="shared" si="60"/>
        <v>0</v>
      </c>
      <c r="F302" s="47">
        <f t="shared" si="66"/>
        <v>0</v>
      </c>
      <c r="G302" s="48">
        <f t="shared" si="61"/>
        <v>0</v>
      </c>
      <c r="H302" s="49">
        <f t="shared" si="56"/>
        <v>0</v>
      </c>
      <c r="I302" s="47">
        <f t="shared" si="67"/>
        <v>0</v>
      </c>
      <c r="J302" s="47">
        <f t="shared" si="62"/>
        <v>0</v>
      </c>
      <c r="K302" s="50">
        <f t="shared" si="63"/>
        <v>0</v>
      </c>
      <c r="L302" s="63"/>
      <c r="M302" s="67"/>
      <c r="N302" s="51">
        <f t="shared" si="57"/>
        <v>7</v>
      </c>
      <c r="O302" s="19">
        <f t="shared" si="64"/>
        <v>10</v>
      </c>
      <c r="P302" s="20">
        <f t="shared" si="58"/>
        <v>0</v>
      </c>
      <c r="Q302" s="21"/>
      <c r="R302" s="21"/>
      <c r="S302" s="21"/>
      <c r="T302" s="21"/>
      <c r="U302" s="21"/>
      <c r="V302" s="21"/>
      <c r="W302" s="21"/>
      <c r="X302" s="21"/>
      <c r="Y302" s="21"/>
      <c r="Z302" s="21"/>
    </row>
    <row r="303" spans="1:26">
      <c r="A303" s="43">
        <v>296</v>
      </c>
      <c r="B303" s="44" t="str">
        <f t="shared" si="59"/>
        <v>25-й год 8-й мес</v>
      </c>
      <c r="C303" s="45">
        <f t="shared" si="65"/>
        <v>50201</v>
      </c>
      <c r="D303" s="46">
        <f t="shared" si="55"/>
        <v>0</v>
      </c>
      <c r="E303" s="47">
        <f t="shared" si="60"/>
        <v>0</v>
      </c>
      <c r="F303" s="47">
        <f t="shared" si="66"/>
        <v>0</v>
      </c>
      <c r="G303" s="48">
        <f t="shared" si="61"/>
        <v>0</v>
      </c>
      <c r="H303" s="49">
        <f t="shared" si="56"/>
        <v>0</v>
      </c>
      <c r="I303" s="47">
        <f t="shared" si="67"/>
        <v>0</v>
      </c>
      <c r="J303" s="47">
        <f t="shared" si="62"/>
        <v>0</v>
      </c>
      <c r="K303" s="50">
        <f t="shared" si="63"/>
        <v>0</v>
      </c>
      <c r="L303" s="63"/>
      <c r="M303" s="67"/>
      <c r="N303" s="51">
        <f t="shared" si="57"/>
        <v>7</v>
      </c>
      <c r="O303" s="19">
        <f t="shared" si="64"/>
        <v>10</v>
      </c>
      <c r="P303" s="20">
        <f t="shared" si="58"/>
        <v>0</v>
      </c>
      <c r="Q303" s="21"/>
      <c r="R303" s="21"/>
      <c r="S303" s="21"/>
      <c r="T303" s="21"/>
      <c r="U303" s="21"/>
      <c r="V303" s="21"/>
      <c r="W303" s="21"/>
      <c r="X303" s="21"/>
      <c r="Y303" s="21"/>
      <c r="Z303" s="21"/>
    </row>
    <row r="304" spans="1:26">
      <c r="A304" s="43">
        <v>297</v>
      </c>
      <c r="B304" s="44" t="str">
        <f t="shared" si="59"/>
        <v>25-й год 9-й мес</v>
      </c>
      <c r="C304" s="45">
        <f t="shared" si="65"/>
        <v>50231</v>
      </c>
      <c r="D304" s="46">
        <f t="shared" si="55"/>
        <v>0</v>
      </c>
      <c r="E304" s="47">
        <f t="shared" si="60"/>
        <v>0</v>
      </c>
      <c r="F304" s="47">
        <f t="shared" si="66"/>
        <v>0</v>
      </c>
      <c r="G304" s="48">
        <f t="shared" si="61"/>
        <v>0</v>
      </c>
      <c r="H304" s="49">
        <f t="shared" si="56"/>
        <v>0</v>
      </c>
      <c r="I304" s="47">
        <f t="shared" si="67"/>
        <v>0</v>
      </c>
      <c r="J304" s="47">
        <f t="shared" si="62"/>
        <v>0</v>
      </c>
      <c r="K304" s="50">
        <f t="shared" si="63"/>
        <v>0</v>
      </c>
      <c r="L304" s="63"/>
      <c r="M304" s="67"/>
      <c r="N304" s="51">
        <f t="shared" si="57"/>
        <v>7</v>
      </c>
      <c r="O304" s="19">
        <f t="shared" si="64"/>
        <v>10</v>
      </c>
      <c r="P304" s="20">
        <f t="shared" si="58"/>
        <v>0</v>
      </c>
      <c r="Q304" s="21"/>
      <c r="R304" s="21"/>
      <c r="S304" s="21"/>
      <c r="T304" s="21"/>
      <c r="U304" s="21"/>
      <c r="V304" s="21"/>
      <c r="W304" s="21"/>
      <c r="X304" s="21"/>
      <c r="Y304" s="21"/>
      <c r="Z304" s="21"/>
    </row>
    <row r="305" spans="1:26">
      <c r="A305" s="43">
        <v>298</v>
      </c>
      <c r="B305" s="44" t="str">
        <f t="shared" si="59"/>
        <v>25-й год 10-й мес</v>
      </c>
      <c r="C305" s="45">
        <f t="shared" si="65"/>
        <v>50262</v>
      </c>
      <c r="D305" s="46">
        <f t="shared" si="55"/>
        <v>0</v>
      </c>
      <c r="E305" s="47">
        <f t="shared" si="60"/>
        <v>0</v>
      </c>
      <c r="F305" s="47">
        <f t="shared" si="66"/>
        <v>0</v>
      </c>
      <c r="G305" s="48">
        <f t="shared" si="61"/>
        <v>0</v>
      </c>
      <c r="H305" s="49">
        <f t="shared" si="56"/>
        <v>0</v>
      </c>
      <c r="I305" s="47">
        <f t="shared" si="67"/>
        <v>0</v>
      </c>
      <c r="J305" s="47">
        <f t="shared" si="62"/>
        <v>0</v>
      </c>
      <c r="K305" s="50">
        <f t="shared" si="63"/>
        <v>0</v>
      </c>
      <c r="L305" s="63"/>
      <c r="M305" s="67"/>
      <c r="N305" s="51">
        <f t="shared" si="57"/>
        <v>7</v>
      </c>
      <c r="O305" s="19">
        <f t="shared" si="64"/>
        <v>10</v>
      </c>
      <c r="P305" s="20">
        <f t="shared" si="58"/>
        <v>0</v>
      </c>
      <c r="Q305" s="21"/>
      <c r="R305" s="21"/>
      <c r="S305" s="21"/>
      <c r="T305" s="21"/>
      <c r="U305" s="21"/>
      <c r="V305" s="21"/>
      <c r="W305" s="21"/>
      <c r="X305" s="21"/>
      <c r="Y305" s="21"/>
      <c r="Z305" s="21"/>
    </row>
    <row r="306" spans="1:26">
      <c r="A306" s="43">
        <v>299</v>
      </c>
      <c r="B306" s="44" t="str">
        <f t="shared" si="59"/>
        <v>25-й год 11-й мес</v>
      </c>
      <c r="C306" s="45">
        <f t="shared" si="65"/>
        <v>50293</v>
      </c>
      <c r="D306" s="46">
        <f t="shared" si="55"/>
        <v>0</v>
      </c>
      <c r="E306" s="47">
        <f t="shared" si="60"/>
        <v>0</v>
      </c>
      <c r="F306" s="47">
        <f t="shared" si="66"/>
        <v>0</v>
      </c>
      <c r="G306" s="48">
        <f t="shared" si="61"/>
        <v>0</v>
      </c>
      <c r="H306" s="49">
        <f t="shared" si="56"/>
        <v>0</v>
      </c>
      <c r="I306" s="47">
        <f t="shared" si="67"/>
        <v>0</v>
      </c>
      <c r="J306" s="47">
        <f t="shared" si="62"/>
        <v>0</v>
      </c>
      <c r="K306" s="50">
        <f t="shared" si="63"/>
        <v>0</v>
      </c>
      <c r="L306" s="63"/>
      <c r="M306" s="67"/>
      <c r="N306" s="51">
        <f t="shared" si="57"/>
        <v>7</v>
      </c>
      <c r="O306" s="19">
        <f t="shared" si="64"/>
        <v>10</v>
      </c>
      <c r="P306" s="20">
        <f t="shared" si="58"/>
        <v>0</v>
      </c>
      <c r="Q306" s="21"/>
      <c r="R306" s="21"/>
      <c r="S306" s="21"/>
      <c r="T306" s="21"/>
      <c r="U306" s="21"/>
      <c r="V306" s="21"/>
      <c r="W306" s="21"/>
      <c r="X306" s="21"/>
      <c r="Y306" s="21"/>
      <c r="Z306" s="21"/>
    </row>
    <row r="307" spans="1:26">
      <c r="A307" s="43">
        <v>300</v>
      </c>
      <c r="B307" s="44" t="str">
        <f t="shared" si="59"/>
        <v>25-й год 12-й мес</v>
      </c>
      <c r="C307" s="45">
        <f t="shared" si="65"/>
        <v>50323</v>
      </c>
      <c r="D307" s="46">
        <f t="shared" si="55"/>
        <v>0</v>
      </c>
      <c r="E307" s="47">
        <f t="shared" si="60"/>
        <v>0</v>
      </c>
      <c r="F307" s="47">
        <f t="shared" si="66"/>
        <v>0</v>
      </c>
      <c r="G307" s="48">
        <f t="shared" si="61"/>
        <v>0</v>
      </c>
      <c r="H307" s="49">
        <f t="shared" si="56"/>
        <v>0</v>
      </c>
      <c r="I307" s="47">
        <f t="shared" si="67"/>
        <v>0</v>
      </c>
      <c r="J307" s="47">
        <f t="shared" si="62"/>
        <v>0</v>
      </c>
      <c r="K307" s="50">
        <f t="shared" si="63"/>
        <v>0</v>
      </c>
      <c r="L307" s="63"/>
      <c r="M307" s="67"/>
      <c r="N307" s="51">
        <f t="shared" si="57"/>
        <v>7</v>
      </c>
      <c r="O307" s="19">
        <f t="shared" si="64"/>
        <v>10</v>
      </c>
      <c r="P307" s="20">
        <f t="shared" si="58"/>
        <v>0</v>
      </c>
      <c r="Q307" s="21"/>
      <c r="R307" s="21"/>
      <c r="S307" s="21"/>
      <c r="T307" s="21"/>
      <c r="U307" s="21"/>
      <c r="V307" s="21"/>
      <c r="W307" s="21"/>
      <c r="X307" s="21"/>
      <c r="Y307" s="21"/>
      <c r="Z307" s="21"/>
    </row>
    <row r="308" spans="1:26">
      <c r="A308" s="52">
        <v>301</v>
      </c>
      <c r="B308" s="44" t="str">
        <f t="shared" si="59"/>
        <v>26-й год 1-й мес</v>
      </c>
      <c r="C308" s="45">
        <f t="shared" si="65"/>
        <v>50354</v>
      </c>
      <c r="D308" s="46">
        <f t="shared" si="55"/>
        <v>0</v>
      </c>
      <c r="E308" s="53">
        <f t="shared" si="60"/>
        <v>0</v>
      </c>
      <c r="F308" s="47">
        <f t="shared" si="66"/>
        <v>0</v>
      </c>
      <c r="G308" s="54">
        <f t="shared" si="61"/>
        <v>0</v>
      </c>
      <c r="H308" s="55">
        <f t="shared" si="56"/>
        <v>0</v>
      </c>
      <c r="I308" s="53">
        <f t="shared" si="67"/>
        <v>0</v>
      </c>
      <c r="J308" s="53">
        <f t="shared" si="62"/>
        <v>0</v>
      </c>
      <c r="K308" s="56">
        <f t="shared" si="63"/>
        <v>0</v>
      </c>
      <c r="L308" s="65"/>
      <c r="M308" s="64"/>
      <c r="N308" s="51">
        <f t="shared" si="57"/>
        <v>7</v>
      </c>
      <c r="O308" s="19">
        <f t="shared" si="64"/>
        <v>10</v>
      </c>
      <c r="P308" s="20">
        <f t="shared" si="58"/>
        <v>0</v>
      </c>
      <c r="Q308" s="21"/>
      <c r="R308" s="21"/>
      <c r="S308" s="21"/>
      <c r="T308" s="21"/>
      <c r="U308" s="21"/>
      <c r="V308" s="21"/>
      <c r="W308" s="21"/>
      <c r="X308" s="21"/>
      <c r="Y308" s="21"/>
      <c r="Z308" s="21"/>
    </row>
    <row r="309" spans="1:26">
      <c r="A309" s="57">
        <v>302</v>
      </c>
      <c r="B309" s="44" t="str">
        <f t="shared" si="59"/>
        <v>26-й год 2-й мес</v>
      </c>
      <c r="C309" s="45">
        <f t="shared" si="65"/>
        <v>50384</v>
      </c>
      <c r="D309" s="46">
        <f t="shared" si="55"/>
        <v>0</v>
      </c>
      <c r="E309" s="47">
        <f t="shared" si="60"/>
        <v>0</v>
      </c>
      <c r="F309" s="47">
        <f t="shared" si="66"/>
        <v>0</v>
      </c>
      <c r="G309" s="48">
        <f t="shared" si="61"/>
        <v>0</v>
      </c>
      <c r="H309" s="49">
        <f t="shared" si="56"/>
        <v>0</v>
      </c>
      <c r="I309" s="47">
        <f t="shared" si="67"/>
        <v>0</v>
      </c>
      <c r="J309" s="47">
        <f t="shared" si="62"/>
        <v>0</v>
      </c>
      <c r="K309" s="50">
        <f t="shared" si="63"/>
        <v>0</v>
      </c>
      <c r="L309" s="63"/>
      <c r="M309" s="67"/>
      <c r="N309" s="51">
        <f t="shared" si="57"/>
        <v>7</v>
      </c>
      <c r="O309" s="19">
        <f t="shared" si="64"/>
        <v>10</v>
      </c>
      <c r="P309" s="20">
        <f t="shared" si="58"/>
        <v>0</v>
      </c>
      <c r="Q309" s="21"/>
      <c r="R309" s="21"/>
      <c r="S309" s="21"/>
      <c r="T309" s="21"/>
      <c r="U309" s="21"/>
      <c r="V309" s="21"/>
      <c r="W309" s="21"/>
      <c r="X309" s="21"/>
      <c r="Y309" s="21"/>
      <c r="Z309" s="21"/>
    </row>
    <row r="310" spans="1:26">
      <c r="A310" s="57">
        <v>303</v>
      </c>
      <c r="B310" s="44" t="str">
        <f t="shared" si="59"/>
        <v>26-й год 3-й мес</v>
      </c>
      <c r="C310" s="45">
        <f t="shared" si="65"/>
        <v>50415</v>
      </c>
      <c r="D310" s="46">
        <f t="shared" si="55"/>
        <v>0</v>
      </c>
      <c r="E310" s="47">
        <f t="shared" si="60"/>
        <v>0</v>
      </c>
      <c r="F310" s="47">
        <f t="shared" si="66"/>
        <v>0</v>
      </c>
      <c r="G310" s="48">
        <f t="shared" si="61"/>
        <v>0</v>
      </c>
      <c r="H310" s="49">
        <f t="shared" si="56"/>
        <v>0</v>
      </c>
      <c r="I310" s="47">
        <f t="shared" si="67"/>
        <v>0</v>
      </c>
      <c r="J310" s="47">
        <f t="shared" si="62"/>
        <v>0</v>
      </c>
      <c r="K310" s="50">
        <f t="shared" si="63"/>
        <v>0</v>
      </c>
      <c r="L310" s="63"/>
      <c r="M310" s="67"/>
      <c r="N310" s="51">
        <f t="shared" si="57"/>
        <v>7</v>
      </c>
      <c r="O310" s="19">
        <f t="shared" si="64"/>
        <v>10</v>
      </c>
      <c r="P310" s="20">
        <f t="shared" si="58"/>
        <v>0</v>
      </c>
      <c r="Q310" s="21"/>
      <c r="R310" s="21"/>
      <c r="S310" s="21"/>
      <c r="T310" s="21"/>
      <c r="U310" s="21"/>
      <c r="V310" s="21"/>
      <c r="W310" s="21"/>
      <c r="X310" s="21"/>
      <c r="Y310" s="21"/>
      <c r="Z310" s="21"/>
    </row>
    <row r="311" spans="1:26">
      <c r="A311" s="57">
        <v>304</v>
      </c>
      <c r="B311" s="44" t="str">
        <f t="shared" si="59"/>
        <v>26-й год 4-й мес</v>
      </c>
      <c r="C311" s="45">
        <f t="shared" si="65"/>
        <v>50446</v>
      </c>
      <c r="D311" s="46">
        <f t="shared" si="55"/>
        <v>0</v>
      </c>
      <c r="E311" s="47">
        <f t="shared" si="60"/>
        <v>0</v>
      </c>
      <c r="F311" s="47">
        <f t="shared" si="66"/>
        <v>0</v>
      </c>
      <c r="G311" s="48">
        <f t="shared" si="61"/>
        <v>0</v>
      </c>
      <c r="H311" s="49">
        <f t="shared" si="56"/>
        <v>0</v>
      </c>
      <c r="I311" s="47">
        <f t="shared" si="67"/>
        <v>0</v>
      </c>
      <c r="J311" s="47">
        <f t="shared" si="62"/>
        <v>0</v>
      </c>
      <c r="K311" s="50">
        <f t="shared" si="63"/>
        <v>0</v>
      </c>
      <c r="L311" s="63"/>
      <c r="M311" s="67"/>
      <c r="N311" s="51">
        <f t="shared" si="57"/>
        <v>7</v>
      </c>
      <c r="O311" s="19">
        <f t="shared" si="64"/>
        <v>10</v>
      </c>
      <c r="P311" s="20">
        <f t="shared" si="58"/>
        <v>0</v>
      </c>
      <c r="Q311" s="21"/>
      <c r="R311" s="21"/>
      <c r="S311" s="21"/>
      <c r="T311" s="21"/>
      <c r="U311" s="21"/>
      <c r="V311" s="21"/>
      <c r="W311" s="21"/>
      <c r="X311" s="21"/>
      <c r="Y311" s="21"/>
      <c r="Z311" s="21"/>
    </row>
    <row r="312" spans="1:26">
      <c r="A312" s="57">
        <v>305</v>
      </c>
      <c r="B312" s="44" t="str">
        <f t="shared" si="59"/>
        <v>26-й год 5-й мес</v>
      </c>
      <c r="C312" s="45">
        <f t="shared" si="65"/>
        <v>50474</v>
      </c>
      <c r="D312" s="46">
        <f t="shared" si="55"/>
        <v>0</v>
      </c>
      <c r="E312" s="47">
        <f t="shared" si="60"/>
        <v>0</v>
      </c>
      <c r="F312" s="47">
        <f t="shared" si="66"/>
        <v>0</v>
      </c>
      <c r="G312" s="48">
        <f t="shared" si="61"/>
        <v>0</v>
      </c>
      <c r="H312" s="49">
        <f t="shared" si="56"/>
        <v>0</v>
      </c>
      <c r="I312" s="47">
        <f t="shared" si="67"/>
        <v>0</v>
      </c>
      <c r="J312" s="47">
        <f t="shared" si="62"/>
        <v>0</v>
      </c>
      <c r="K312" s="50">
        <f t="shared" si="63"/>
        <v>0</v>
      </c>
      <c r="L312" s="63"/>
      <c r="M312" s="67"/>
      <c r="N312" s="51">
        <f t="shared" si="57"/>
        <v>7</v>
      </c>
      <c r="O312" s="19">
        <f t="shared" si="64"/>
        <v>10</v>
      </c>
      <c r="P312" s="20">
        <f t="shared" si="58"/>
        <v>0</v>
      </c>
      <c r="Q312" s="21"/>
      <c r="R312" s="21"/>
      <c r="S312" s="21"/>
      <c r="T312" s="21"/>
      <c r="U312" s="21"/>
      <c r="V312" s="21"/>
      <c r="W312" s="21"/>
      <c r="X312" s="21"/>
      <c r="Y312" s="21"/>
      <c r="Z312" s="21"/>
    </row>
    <row r="313" spans="1:26">
      <c r="A313" s="57">
        <v>306</v>
      </c>
      <c r="B313" s="44" t="str">
        <f t="shared" si="59"/>
        <v>26-й год 6-й мес</v>
      </c>
      <c r="C313" s="45">
        <f t="shared" si="65"/>
        <v>50505</v>
      </c>
      <c r="D313" s="46">
        <f t="shared" si="55"/>
        <v>0</v>
      </c>
      <c r="E313" s="47">
        <f t="shared" si="60"/>
        <v>0</v>
      </c>
      <c r="F313" s="47">
        <f t="shared" si="66"/>
        <v>0</v>
      </c>
      <c r="G313" s="48">
        <f t="shared" si="61"/>
        <v>0</v>
      </c>
      <c r="H313" s="49">
        <f t="shared" si="56"/>
        <v>0</v>
      </c>
      <c r="I313" s="47">
        <f t="shared" si="67"/>
        <v>0</v>
      </c>
      <c r="J313" s="47">
        <f t="shared" si="62"/>
        <v>0</v>
      </c>
      <c r="K313" s="50">
        <f t="shared" si="63"/>
        <v>0</v>
      </c>
      <c r="L313" s="63"/>
      <c r="M313" s="67"/>
      <c r="N313" s="51">
        <f t="shared" si="57"/>
        <v>7</v>
      </c>
      <c r="O313" s="19">
        <f t="shared" si="64"/>
        <v>10</v>
      </c>
      <c r="P313" s="20">
        <f t="shared" si="58"/>
        <v>0</v>
      </c>
      <c r="Q313" s="21"/>
      <c r="R313" s="21"/>
      <c r="S313" s="21"/>
      <c r="T313" s="21"/>
      <c r="U313" s="21"/>
      <c r="V313" s="21"/>
      <c r="W313" s="21"/>
      <c r="X313" s="21"/>
      <c r="Y313" s="21"/>
      <c r="Z313" s="21"/>
    </row>
    <row r="314" spans="1:26">
      <c r="A314" s="57">
        <v>307</v>
      </c>
      <c r="B314" s="44" t="str">
        <f t="shared" si="59"/>
        <v>26-й год 7-й мес</v>
      </c>
      <c r="C314" s="45">
        <f t="shared" si="65"/>
        <v>50535</v>
      </c>
      <c r="D314" s="46">
        <f t="shared" si="55"/>
        <v>0</v>
      </c>
      <c r="E314" s="47">
        <f t="shared" si="60"/>
        <v>0</v>
      </c>
      <c r="F314" s="47">
        <f t="shared" si="66"/>
        <v>0</v>
      </c>
      <c r="G314" s="48">
        <f t="shared" si="61"/>
        <v>0</v>
      </c>
      <c r="H314" s="49">
        <f t="shared" si="56"/>
        <v>0</v>
      </c>
      <c r="I314" s="47">
        <f t="shared" si="67"/>
        <v>0</v>
      </c>
      <c r="J314" s="47">
        <f t="shared" si="62"/>
        <v>0</v>
      </c>
      <c r="K314" s="50">
        <f t="shared" si="63"/>
        <v>0</v>
      </c>
      <c r="L314" s="63"/>
      <c r="M314" s="67"/>
      <c r="N314" s="51">
        <f t="shared" si="57"/>
        <v>7</v>
      </c>
      <c r="O314" s="19">
        <f t="shared" si="64"/>
        <v>10</v>
      </c>
      <c r="P314" s="20">
        <f t="shared" si="58"/>
        <v>0</v>
      </c>
      <c r="Q314" s="21"/>
      <c r="R314" s="21"/>
      <c r="S314" s="21"/>
      <c r="T314" s="21"/>
      <c r="U314" s="21"/>
      <c r="V314" s="21"/>
      <c r="W314" s="21"/>
      <c r="X314" s="21"/>
      <c r="Y314" s="21"/>
      <c r="Z314" s="21"/>
    </row>
    <row r="315" spans="1:26">
      <c r="A315" s="57">
        <v>308</v>
      </c>
      <c r="B315" s="44" t="str">
        <f t="shared" si="59"/>
        <v>26-й год 8-й мес</v>
      </c>
      <c r="C315" s="45">
        <f t="shared" si="65"/>
        <v>50566</v>
      </c>
      <c r="D315" s="46">
        <f t="shared" si="55"/>
        <v>0</v>
      </c>
      <c r="E315" s="47">
        <f t="shared" si="60"/>
        <v>0</v>
      </c>
      <c r="F315" s="47">
        <f t="shared" si="66"/>
        <v>0</v>
      </c>
      <c r="G315" s="48">
        <f t="shared" si="61"/>
        <v>0</v>
      </c>
      <c r="H315" s="49">
        <f t="shared" si="56"/>
        <v>0</v>
      </c>
      <c r="I315" s="47">
        <f t="shared" si="67"/>
        <v>0</v>
      </c>
      <c r="J315" s="47">
        <f t="shared" si="62"/>
        <v>0</v>
      </c>
      <c r="K315" s="50">
        <f t="shared" si="63"/>
        <v>0</v>
      </c>
      <c r="L315" s="63"/>
      <c r="M315" s="67"/>
      <c r="N315" s="51">
        <f t="shared" si="57"/>
        <v>7</v>
      </c>
      <c r="O315" s="19">
        <f t="shared" si="64"/>
        <v>10</v>
      </c>
      <c r="P315" s="20">
        <f t="shared" si="58"/>
        <v>0</v>
      </c>
      <c r="Q315" s="21"/>
      <c r="R315" s="21"/>
      <c r="S315" s="21"/>
      <c r="T315" s="21"/>
      <c r="U315" s="21"/>
      <c r="V315" s="21"/>
      <c r="W315" s="21"/>
      <c r="X315" s="21"/>
      <c r="Y315" s="21"/>
      <c r="Z315" s="21"/>
    </row>
    <row r="316" spans="1:26">
      <c r="A316" s="57">
        <v>309</v>
      </c>
      <c r="B316" s="44" t="str">
        <f t="shared" si="59"/>
        <v>26-й год 9-й мес</v>
      </c>
      <c r="C316" s="45">
        <f t="shared" si="65"/>
        <v>50596</v>
      </c>
      <c r="D316" s="46">
        <f t="shared" si="55"/>
        <v>0</v>
      </c>
      <c r="E316" s="47">
        <f t="shared" si="60"/>
        <v>0</v>
      </c>
      <c r="F316" s="47">
        <f t="shared" si="66"/>
        <v>0</v>
      </c>
      <c r="G316" s="48">
        <f t="shared" si="61"/>
        <v>0</v>
      </c>
      <c r="H316" s="49">
        <f t="shared" si="56"/>
        <v>0</v>
      </c>
      <c r="I316" s="47">
        <f t="shared" si="67"/>
        <v>0</v>
      </c>
      <c r="J316" s="47">
        <f t="shared" si="62"/>
        <v>0</v>
      </c>
      <c r="K316" s="50">
        <f t="shared" si="63"/>
        <v>0</v>
      </c>
      <c r="L316" s="63"/>
      <c r="M316" s="67"/>
      <c r="N316" s="51">
        <f t="shared" si="57"/>
        <v>7</v>
      </c>
      <c r="O316" s="19">
        <f t="shared" si="64"/>
        <v>10</v>
      </c>
      <c r="P316" s="20">
        <f t="shared" si="58"/>
        <v>0</v>
      </c>
      <c r="Q316" s="21"/>
      <c r="R316" s="21"/>
      <c r="S316" s="21"/>
      <c r="T316" s="21"/>
      <c r="U316" s="21"/>
      <c r="V316" s="21"/>
      <c r="W316" s="21"/>
      <c r="X316" s="21"/>
      <c r="Y316" s="21"/>
      <c r="Z316" s="21"/>
    </row>
    <row r="317" spans="1:26">
      <c r="A317" s="57">
        <v>310</v>
      </c>
      <c r="B317" s="44" t="str">
        <f t="shared" si="59"/>
        <v>26-й год 10-й мес</v>
      </c>
      <c r="C317" s="45">
        <f t="shared" si="65"/>
        <v>50627</v>
      </c>
      <c r="D317" s="46">
        <f t="shared" si="55"/>
        <v>0</v>
      </c>
      <c r="E317" s="47">
        <f t="shared" si="60"/>
        <v>0</v>
      </c>
      <c r="F317" s="47">
        <f t="shared" si="66"/>
        <v>0</v>
      </c>
      <c r="G317" s="48">
        <f t="shared" si="61"/>
        <v>0</v>
      </c>
      <c r="H317" s="49">
        <f t="shared" si="56"/>
        <v>0</v>
      </c>
      <c r="I317" s="47">
        <f t="shared" si="67"/>
        <v>0</v>
      </c>
      <c r="J317" s="47">
        <f t="shared" si="62"/>
        <v>0</v>
      </c>
      <c r="K317" s="50">
        <f t="shared" si="63"/>
        <v>0</v>
      </c>
      <c r="L317" s="63"/>
      <c r="M317" s="67"/>
      <c r="N317" s="51">
        <f t="shared" si="57"/>
        <v>7</v>
      </c>
      <c r="O317" s="19">
        <f t="shared" si="64"/>
        <v>10</v>
      </c>
      <c r="P317" s="20">
        <f t="shared" si="58"/>
        <v>0</v>
      </c>
      <c r="Q317" s="21"/>
      <c r="R317" s="21"/>
      <c r="S317" s="21"/>
      <c r="T317" s="21"/>
      <c r="U317" s="21"/>
      <c r="V317" s="21"/>
      <c r="W317" s="21"/>
      <c r="X317" s="21"/>
      <c r="Y317" s="21"/>
      <c r="Z317" s="21"/>
    </row>
    <row r="318" spans="1:26">
      <c r="A318" s="57">
        <v>311</v>
      </c>
      <c r="B318" s="44" t="str">
        <f t="shared" si="59"/>
        <v>26-й год 11-й мес</v>
      </c>
      <c r="C318" s="45">
        <f t="shared" si="65"/>
        <v>50658</v>
      </c>
      <c r="D318" s="46">
        <f t="shared" si="55"/>
        <v>0</v>
      </c>
      <c r="E318" s="47">
        <f t="shared" si="60"/>
        <v>0</v>
      </c>
      <c r="F318" s="47">
        <f t="shared" si="66"/>
        <v>0</v>
      </c>
      <c r="G318" s="48">
        <f t="shared" si="61"/>
        <v>0</v>
      </c>
      <c r="H318" s="49">
        <f t="shared" si="56"/>
        <v>0</v>
      </c>
      <c r="I318" s="47">
        <f t="shared" si="67"/>
        <v>0</v>
      </c>
      <c r="J318" s="47">
        <f t="shared" si="62"/>
        <v>0</v>
      </c>
      <c r="K318" s="50">
        <f t="shared" si="63"/>
        <v>0</v>
      </c>
      <c r="L318" s="63"/>
      <c r="M318" s="67"/>
      <c r="N318" s="51">
        <f t="shared" si="57"/>
        <v>7</v>
      </c>
      <c r="O318" s="19">
        <f t="shared" si="64"/>
        <v>10</v>
      </c>
      <c r="P318" s="20">
        <f t="shared" si="58"/>
        <v>0</v>
      </c>
      <c r="Q318" s="21"/>
      <c r="R318" s="21"/>
      <c r="S318" s="21"/>
      <c r="T318" s="21"/>
      <c r="U318" s="21"/>
      <c r="V318" s="21"/>
      <c r="W318" s="21"/>
      <c r="X318" s="21"/>
      <c r="Y318" s="21"/>
      <c r="Z318" s="21"/>
    </row>
    <row r="319" spans="1:26">
      <c r="A319" s="58">
        <v>312</v>
      </c>
      <c r="B319" s="44" t="str">
        <f t="shared" si="59"/>
        <v>26-й год 12-й мес</v>
      </c>
      <c r="C319" s="45">
        <f t="shared" si="65"/>
        <v>50688</v>
      </c>
      <c r="D319" s="46">
        <f t="shared" si="55"/>
        <v>0</v>
      </c>
      <c r="E319" s="59">
        <f t="shared" si="60"/>
        <v>0</v>
      </c>
      <c r="F319" s="47">
        <f t="shared" si="66"/>
        <v>0</v>
      </c>
      <c r="G319" s="60">
        <f t="shared" si="61"/>
        <v>0</v>
      </c>
      <c r="H319" s="61">
        <f t="shared" si="56"/>
        <v>0</v>
      </c>
      <c r="I319" s="59">
        <f t="shared" si="67"/>
        <v>0</v>
      </c>
      <c r="J319" s="59">
        <f t="shared" si="62"/>
        <v>0</v>
      </c>
      <c r="K319" s="62">
        <f t="shared" si="63"/>
        <v>0</v>
      </c>
      <c r="L319" s="66"/>
      <c r="M319" s="68"/>
      <c r="N319" s="51">
        <f t="shared" si="57"/>
        <v>7</v>
      </c>
      <c r="O319" s="19">
        <f t="shared" si="64"/>
        <v>10</v>
      </c>
      <c r="P319" s="20">
        <f t="shared" si="58"/>
        <v>0</v>
      </c>
      <c r="Q319" s="21"/>
      <c r="R319" s="21"/>
      <c r="S319" s="21"/>
      <c r="T319" s="21"/>
      <c r="U319" s="21"/>
      <c r="V319" s="21"/>
      <c r="W319" s="21"/>
      <c r="X319" s="21"/>
      <c r="Y319" s="21"/>
      <c r="Z319" s="21"/>
    </row>
    <row r="320" spans="1:26">
      <c r="A320" s="43">
        <v>313</v>
      </c>
      <c r="B320" s="44" t="str">
        <f t="shared" si="59"/>
        <v>27-й год 1-й мес</v>
      </c>
      <c r="C320" s="45">
        <f t="shared" si="65"/>
        <v>50719</v>
      </c>
      <c r="D320" s="46">
        <f t="shared" si="55"/>
        <v>0</v>
      </c>
      <c r="E320" s="47">
        <f t="shared" si="60"/>
        <v>0</v>
      </c>
      <c r="F320" s="47">
        <f t="shared" si="66"/>
        <v>0</v>
      </c>
      <c r="G320" s="48">
        <f t="shared" si="61"/>
        <v>0</v>
      </c>
      <c r="H320" s="49">
        <f t="shared" si="56"/>
        <v>0</v>
      </c>
      <c r="I320" s="47">
        <f t="shared" si="67"/>
        <v>0</v>
      </c>
      <c r="J320" s="47">
        <f t="shared" si="62"/>
        <v>0</v>
      </c>
      <c r="K320" s="50">
        <f t="shared" si="63"/>
        <v>0</v>
      </c>
      <c r="L320" s="63"/>
      <c r="M320" s="67"/>
      <c r="N320" s="51">
        <f t="shared" si="57"/>
        <v>7</v>
      </c>
      <c r="O320" s="19">
        <f t="shared" si="64"/>
        <v>10</v>
      </c>
      <c r="P320" s="20">
        <f t="shared" si="58"/>
        <v>0</v>
      </c>
      <c r="Q320" s="21"/>
      <c r="R320" s="21"/>
      <c r="S320" s="21"/>
      <c r="T320" s="21"/>
      <c r="U320" s="21"/>
      <c r="V320" s="21"/>
      <c r="W320" s="21"/>
      <c r="X320" s="21"/>
      <c r="Y320" s="21"/>
      <c r="Z320" s="21"/>
    </row>
    <row r="321" spans="1:26">
      <c r="A321" s="43">
        <v>314</v>
      </c>
      <c r="B321" s="44" t="str">
        <f t="shared" si="59"/>
        <v>27-й год 2-й мес</v>
      </c>
      <c r="C321" s="45">
        <f t="shared" si="65"/>
        <v>50749</v>
      </c>
      <c r="D321" s="46">
        <f t="shared" si="55"/>
        <v>0</v>
      </c>
      <c r="E321" s="47">
        <f t="shared" si="60"/>
        <v>0</v>
      </c>
      <c r="F321" s="47">
        <f t="shared" si="66"/>
        <v>0</v>
      </c>
      <c r="G321" s="48">
        <f t="shared" si="61"/>
        <v>0</v>
      </c>
      <c r="H321" s="49">
        <f t="shared" si="56"/>
        <v>0</v>
      </c>
      <c r="I321" s="47">
        <f t="shared" si="67"/>
        <v>0</v>
      </c>
      <c r="J321" s="47">
        <f t="shared" si="62"/>
        <v>0</v>
      </c>
      <c r="K321" s="50">
        <f t="shared" si="63"/>
        <v>0</v>
      </c>
      <c r="L321" s="63"/>
      <c r="M321" s="67"/>
      <c r="N321" s="51">
        <f t="shared" si="57"/>
        <v>7</v>
      </c>
      <c r="O321" s="19">
        <f t="shared" si="64"/>
        <v>10</v>
      </c>
      <c r="P321" s="20">
        <f t="shared" si="58"/>
        <v>0</v>
      </c>
      <c r="Q321" s="21"/>
      <c r="R321" s="21"/>
      <c r="S321" s="21"/>
      <c r="T321" s="21"/>
      <c r="U321" s="21"/>
      <c r="V321" s="21"/>
      <c r="W321" s="21"/>
      <c r="X321" s="21"/>
      <c r="Y321" s="21"/>
      <c r="Z321" s="21"/>
    </row>
    <row r="322" spans="1:26">
      <c r="A322" s="43">
        <v>315</v>
      </c>
      <c r="B322" s="44" t="str">
        <f t="shared" si="59"/>
        <v>27-й год 3-й мес</v>
      </c>
      <c r="C322" s="45">
        <f t="shared" si="65"/>
        <v>50780</v>
      </c>
      <c r="D322" s="46">
        <f t="shared" si="55"/>
        <v>0</v>
      </c>
      <c r="E322" s="47">
        <f t="shared" si="60"/>
        <v>0</v>
      </c>
      <c r="F322" s="47">
        <f t="shared" si="66"/>
        <v>0</v>
      </c>
      <c r="G322" s="48">
        <f t="shared" si="61"/>
        <v>0</v>
      </c>
      <c r="H322" s="49">
        <f t="shared" si="56"/>
        <v>0</v>
      </c>
      <c r="I322" s="47">
        <f t="shared" si="67"/>
        <v>0</v>
      </c>
      <c r="J322" s="47">
        <f t="shared" si="62"/>
        <v>0</v>
      </c>
      <c r="K322" s="50">
        <f t="shared" si="63"/>
        <v>0</v>
      </c>
      <c r="L322" s="63"/>
      <c r="M322" s="67"/>
      <c r="N322" s="51">
        <f t="shared" si="57"/>
        <v>7</v>
      </c>
      <c r="O322" s="19">
        <f t="shared" si="64"/>
        <v>10</v>
      </c>
      <c r="P322" s="20">
        <f t="shared" si="58"/>
        <v>0</v>
      </c>
      <c r="Q322" s="21"/>
      <c r="R322" s="21"/>
      <c r="S322" s="21"/>
      <c r="T322" s="21"/>
      <c r="U322" s="21"/>
      <c r="V322" s="21"/>
      <c r="W322" s="21"/>
      <c r="X322" s="21"/>
      <c r="Y322" s="21"/>
      <c r="Z322" s="21"/>
    </row>
    <row r="323" spans="1:26">
      <c r="A323" s="43">
        <v>316</v>
      </c>
      <c r="B323" s="44" t="str">
        <f t="shared" si="59"/>
        <v>27-й год 4-й мес</v>
      </c>
      <c r="C323" s="45">
        <f t="shared" si="65"/>
        <v>50811</v>
      </c>
      <c r="D323" s="46">
        <f t="shared" si="55"/>
        <v>0</v>
      </c>
      <c r="E323" s="47">
        <f t="shared" si="60"/>
        <v>0</v>
      </c>
      <c r="F323" s="47">
        <f t="shared" si="66"/>
        <v>0</v>
      </c>
      <c r="G323" s="48">
        <f t="shared" si="61"/>
        <v>0</v>
      </c>
      <c r="H323" s="49">
        <f t="shared" si="56"/>
        <v>0</v>
      </c>
      <c r="I323" s="47">
        <f t="shared" si="67"/>
        <v>0</v>
      </c>
      <c r="J323" s="47">
        <f t="shared" si="62"/>
        <v>0</v>
      </c>
      <c r="K323" s="50">
        <f t="shared" si="63"/>
        <v>0</v>
      </c>
      <c r="L323" s="63"/>
      <c r="M323" s="67"/>
      <c r="N323" s="51">
        <f t="shared" si="57"/>
        <v>7</v>
      </c>
      <c r="O323" s="19">
        <f t="shared" si="64"/>
        <v>10</v>
      </c>
      <c r="P323" s="20">
        <f t="shared" si="58"/>
        <v>0</v>
      </c>
      <c r="Q323" s="21"/>
      <c r="R323" s="21"/>
      <c r="S323" s="21"/>
      <c r="T323" s="21"/>
      <c r="U323" s="21"/>
      <c r="V323" s="21"/>
      <c r="W323" s="21"/>
      <c r="X323" s="21"/>
      <c r="Y323" s="21"/>
      <c r="Z323" s="21"/>
    </row>
    <row r="324" spans="1:26">
      <c r="A324" s="43">
        <v>317</v>
      </c>
      <c r="B324" s="44" t="str">
        <f t="shared" si="59"/>
        <v>27-й год 5-й мес</v>
      </c>
      <c r="C324" s="45">
        <f t="shared" si="65"/>
        <v>50839</v>
      </c>
      <c r="D324" s="46">
        <f t="shared" si="55"/>
        <v>0</v>
      </c>
      <c r="E324" s="47">
        <f t="shared" si="60"/>
        <v>0</v>
      </c>
      <c r="F324" s="47">
        <f t="shared" si="66"/>
        <v>0</v>
      </c>
      <c r="G324" s="48">
        <f t="shared" si="61"/>
        <v>0</v>
      </c>
      <c r="H324" s="49">
        <f t="shared" si="56"/>
        <v>0</v>
      </c>
      <c r="I324" s="47">
        <f t="shared" si="67"/>
        <v>0</v>
      </c>
      <c r="J324" s="47">
        <f t="shared" si="62"/>
        <v>0</v>
      </c>
      <c r="K324" s="50">
        <f t="shared" si="63"/>
        <v>0</v>
      </c>
      <c r="L324" s="63"/>
      <c r="M324" s="67"/>
      <c r="N324" s="51">
        <f t="shared" si="57"/>
        <v>7</v>
      </c>
      <c r="O324" s="19">
        <f t="shared" si="64"/>
        <v>10</v>
      </c>
      <c r="P324" s="20">
        <f t="shared" si="58"/>
        <v>0</v>
      </c>
      <c r="Q324" s="21"/>
      <c r="R324" s="21"/>
      <c r="S324" s="21"/>
      <c r="T324" s="21"/>
      <c r="U324" s="21"/>
      <c r="V324" s="21"/>
      <c r="W324" s="21"/>
      <c r="X324" s="21"/>
      <c r="Y324" s="21"/>
      <c r="Z324" s="21"/>
    </row>
    <row r="325" spans="1:26">
      <c r="A325" s="43">
        <v>318</v>
      </c>
      <c r="B325" s="44" t="str">
        <f t="shared" si="59"/>
        <v>27-й год 6-й мес</v>
      </c>
      <c r="C325" s="45">
        <f t="shared" si="65"/>
        <v>50870</v>
      </c>
      <c r="D325" s="46">
        <f t="shared" si="55"/>
        <v>0</v>
      </c>
      <c r="E325" s="47">
        <f t="shared" si="60"/>
        <v>0</v>
      </c>
      <c r="F325" s="47">
        <f t="shared" si="66"/>
        <v>0</v>
      </c>
      <c r="G325" s="48">
        <f t="shared" si="61"/>
        <v>0</v>
      </c>
      <c r="H325" s="49">
        <f t="shared" si="56"/>
        <v>0</v>
      </c>
      <c r="I325" s="47">
        <f t="shared" si="67"/>
        <v>0</v>
      </c>
      <c r="J325" s="47">
        <f t="shared" si="62"/>
        <v>0</v>
      </c>
      <c r="K325" s="50">
        <f t="shared" si="63"/>
        <v>0</v>
      </c>
      <c r="L325" s="63"/>
      <c r="M325" s="67"/>
      <c r="N325" s="51">
        <f t="shared" si="57"/>
        <v>7</v>
      </c>
      <c r="O325" s="19">
        <f t="shared" si="64"/>
        <v>10</v>
      </c>
      <c r="P325" s="20">
        <f t="shared" si="58"/>
        <v>0</v>
      </c>
      <c r="Q325" s="21"/>
      <c r="R325" s="21"/>
      <c r="S325" s="21"/>
      <c r="T325" s="21"/>
      <c r="U325" s="21"/>
      <c r="V325" s="21"/>
      <c r="W325" s="21"/>
      <c r="X325" s="21"/>
      <c r="Y325" s="21"/>
      <c r="Z325" s="21"/>
    </row>
    <row r="326" spans="1:26">
      <c r="A326" s="43">
        <v>319</v>
      </c>
      <c r="B326" s="44" t="str">
        <f t="shared" si="59"/>
        <v>27-й год 7-й мес</v>
      </c>
      <c r="C326" s="45">
        <f t="shared" si="65"/>
        <v>50900</v>
      </c>
      <c r="D326" s="46">
        <f t="shared" si="55"/>
        <v>0</v>
      </c>
      <c r="E326" s="47">
        <f t="shared" si="60"/>
        <v>0</v>
      </c>
      <c r="F326" s="47">
        <f t="shared" si="66"/>
        <v>0</v>
      </c>
      <c r="G326" s="48">
        <f t="shared" si="61"/>
        <v>0</v>
      </c>
      <c r="H326" s="49">
        <f t="shared" si="56"/>
        <v>0</v>
      </c>
      <c r="I326" s="47">
        <f t="shared" si="67"/>
        <v>0</v>
      </c>
      <c r="J326" s="47">
        <f t="shared" si="62"/>
        <v>0</v>
      </c>
      <c r="K326" s="50">
        <f t="shared" si="63"/>
        <v>0</v>
      </c>
      <c r="L326" s="63"/>
      <c r="M326" s="67"/>
      <c r="N326" s="51">
        <f t="shared" si="57"/>
        <v>7</v>
      </c>
      <c r="O326" s="19">
        <f t="shared" si="64"/>
        <v>10</v>
      </c>
      <c r="P326" s="20">
        <f t="shared" si="58"/>
        <v>0</v>
      </c>
      <c r="Q326" s="21"/>
      <c r="R326" s="21"/>
      <c r="S326" s="21"/>
      <c r="T326" s="21"/>
      <c r="U326" s="21"/>
      <c r="V326" s="21"/>
      <c r="W326" s="21"/>
      <c r="X326" s="21"/>
      <c r="Y326" s="21"/>
      <c r="Z326" s="21"/>
    </row>
    <row r="327" spans="1:26">
      <c r="A327" s="43">
        <v>320</v>
      </c>
      <c r="B327" s="44" t="str">
        <f t="shared" si="59"/>
        <v>27-й год 8-й мес</v>
      </c>
      <c r="C327" s="45">
        <f t="shared" si="65"/>
        <v>50931</v>
      </c>
      <c r="D327" s="46">
        <f t="shared" si="55"/>
        <v>0</v>
      </c>
      <c r="E327" s="47">
        <f t="shared" si="60"/>
        <v>0</v>
      </c>
      <c r="F327" s="47">
        <f t="shared" si="66"/>
        <v>0</v>
      </c>
      <c r="G327" s="48">
        <f t="shared" si="61"/>
        <v>0</v>
      </c>
      <c r="H327" s="49">
        <f t="shared" si="56"/>
        <v>0</v>
      </c>
      <c r="I327" s="47">
        <f t="shared" si="67"/>
        <v>0</v>
      </c>
      <c r="J327" s="47">
        <f t="shared" si="62"/>
        <v>0</v>
      </c>
      <c r="K327" s="50">
        <f t="shared" si="63"/>
        <v>0</v>
      </c>
      <c r="L327" s="63"/>
      <c r="M327" s="67"/>
      <c r="N327" s="51">
        <f t="shared" si="57"/>
        <v>7</v>
      </c>
      <c r="O327" s="19">
        <f t="shared" si="64"/>
        <v>10</v>
      </c>
      <c r="P327" s="20">
        <f t="shared" si="58"/>
        <v>0</v>
      </c>
      <c r="Q327" s="21"/>
      <c r="R327" s="21"/>
      <c r="S327" s="21"/>
      <c r="T327" s="21"/>
      <c r="U327" s="21"/>
      <c r="V327" s="21"/>
      <c r="W327" s="21"/>
      <c r="X327" s="21"/>
      <c r="Y327" s="21"/>
      <c r="Z327" s="21"/>
    </row>
    <row r="328" spans="1:26">
      <c r="A328" s="43">
        <v>321</v>
      </c>
      <c r="B328" s="44" t="str">
        <f t="shared" si="59"/>
        <v>27-й год 9-й мес</v>
      </c>
      <c r="C328" s="45">
        <f t="shared" si="65"/>
        <v>50961</v>
      </c>
      <c r="D328" s="46">
        <f t="shared" ref="D328:D391" si="68">IF(P328*$D$2/100/12/(1-(1+$D$2/100/12)^(-O328))&lt;G327,ROUNDUP(P328*$D$2/100/12/(1-(1+$D$2/100/12)^(-O328)),0),G327+F328)</f>
        <v>0</v>
      </c>
      <c r="E328" s="47">
        <f t="shared" si="60"/>
        <v>0</v>
      </c>
      <c r="F328" s="47">
        <f t="shared" si="66"/>
        <v>0</v>
      </c>
      <c r="G328" s="48">
        <f t="shared" si="61"/>
        <v>0</v>
      </c>
      <c r="H328" s="49">
        <f t="shared" ref="H328:H391" si="69">I328+J328</f>
        <v>0</v>
      </c>
      <c r="I328" s="47">
        <f t="shared" si="67"/>
        <v>0</v>
      </c>
      <c r="J328" s="47">
        <f t="shared" si="62"/>
        <v>0</v>
      </c>
      <c r="K328" s="50">
        <f t="shared" si="63"/>
        <v>0</v>
      </c>
      <c r="L328" s="63"/>
      <c r="M328" s="67"/>
      <c r="N328" s="51">
        <f t="shared" ref="N328:N391" si="70">IF(ISBLANK(L327),VALUE(N327),ROW(L327))</f>
        <v>7</v>
      </c>
      <c r="O328" s="19">
        <f t="shared" si="64"/>
        <v>10</v>
      </c>
      <c r="P328" s="20">
        <f t="shared" ref="P328:P391" si="71">INDEX(G:G,N328,1)</f>
        <v>0</v>
      </c>
      <c r="Q328" s="21"/>
      <c r="R328" s="21"/>
      <c r="S328" s="21"/>
      <c r="T328" s="21"/>
      <c r="U328" s="21"/>
      <c r="V328" s="21"/>
      <c r="W328" s="21"/>
      <c r="X328" s="21"/>
      <c r="Y328" s="21"/>
      <c r="Z328" s="21"/>
    </row>
    <row r="329" spans="1:26">
      <c r="A329" s="43">
        <v>322</v>
      </c>
      <c r="B329" s="44" t="str">
        <f t="shared" ref="B329:B392" si="72">CONCATENATE(INT((A329-1)/12)+1,"-й год ",A329-1-INT((A329-1)/12)*12+1,"-й мес")</f>
        <v>27-й год 10-й мес</v>
      </c>
      <c r="C329" s="45">
        <f t="shared" si="65"/>
        <v>50992</v>
      </c>
      <c r="D329" s="46">
        <f t="shared" si="68"/>
        <v>0</v>
      </c>
      <c r="E329" s="47">
        <f t="shared" ref="E329:E392" si="73">D329-F329</f>
        <v>0</v>
      </c>
      <c r="F329" s="47">
        <f t="shared" si="66"/>
        <v>0</v>
      </c>
      <c r="G329" s="48">
        <f t="shared" ref="G329:G392" si="74">G328-E329-L329-M329</f>
        <v>0</v>
      </c>
      <c r="H329" s="49">
        <f t="shared" si="69"/>
        <v>0</v>
      </c>
      <c r="I329" s="47">
        <f t="shared" si="67"/>
        <v>0</v>
      </c>
      <c r="J329" s="47">
        <f t="shared" ref="J329:J392" si="75">K328*$D$2/12/100</f>
        <v>0</v>
      </c>
      <c r="K329" s="50">
        <f t="shared" ref="K329:K392" si="76">K328-I329-L329-M329</f>
        <v>0</v>
      </c>
      <c r="L329" s="63"/>
      <c r="M329" s="67"/>
      <c r="N329" s="51">
        <f t="shared" si="70"/>
        <v>7</v>
      </c>
      <c r="O329" s="19">
        <f t="shared" ref="O329:O392" si="77">O328+N328-N329</f>
        <v>10</v>
      </c>
      <c r="P329" s="20">
        <f t="shared" si="71"/>
        <v>0</v>
      </c>
      <c r="Q329" s="21"/>
      <c r="R329" s="21"/>
      <c r="S329" s="21"/>
      <c r="T329" s="21"/>
      <c r="U329" s="21"/>
      <c r="V329" s="21"/>
      <c r="W329" s="21"/>
      <c r="X329" s="21"/>
      <c r="Y329" s="21"/>
      <c r="Z329" s="21"/>
    </row>
    <row r="330" spans="1:26">
      <c r="A330" s="43">
        <v>323</v>
      </c>
      <c r="B330" s="44" t="str">
        <f t="shared" si="72"/>
        <v>27-й год 11-й мес</v>
      </c>
      <c r="C330" s="45">
        <f t="shared" ref="C330:C393" si="78">DATE(YEAR(C329),MONTH(C329)+1,DAY(C329))</f>
        <v>51023</v>
      </c>
      <c r="D330" s="46">
        <f t="shared" si="68"/>
        <v>0</v>
      </c>
      <c r="E330" s="47">
        <f t="shared" si="73"/>
        <v>0</v>
      </c>
      <c r="F330" s="47">
        <f t="shared" ref="F330:F393" si="79">G329*$D$2*(C330-C329)/(DATE(YEAR(C330)+1,1,1)-DATE(YEAR(C330),1,1))/100</f>
        <v>0</v>
      </c>
      <c r="G330" s="48">
        <f t="shared" si="74"/>
        <v>0</v>
      </c>
      <c r="H330" s="49">
        <f t="shared" si="69"/>
        <v>0</v>
      </c>
      <c r="I330" s="47">
        <f t="shared" ref="I330:I393" si="80">IF($D$1/$D$3&lt;K329,$D$1/$D$3,K329)</f>
        <v>0</v>
      </c>
      <c r="J330" s="47">
        <f t="shared" si="75"/>
        <v>0</v>
      </c>
      <c r="K330" s="50">
        <f t="shared" si="76"/>
        <v>0</v>
      </c>
      <c r="L330" s="63"/>
      <c r="M330" s="67"/>
      <c r="N330" s="51">
        <f t="shared" si="70"/>
        <v>7</v>
      </c>
      <c r="O330" s="19">
        <f t="shared" si="77"/>
        <v>10</v>
      </c>
      <c r="P330" s="20">
        <f t="shared" si="71"/>
        <v>0</v>
      </c>
      <c r="Q330" s="21"/>
      <c r="R330" s="21"/>
      <c r="S330" s="21"/>
      <c r="T330" s="21"/>
      <c r="U330" s="21"/>
      <c r="V330" s="21"/>
      <c r="W330" s="21"/>
      <c r="X330" s="21"/>
      <c r="Y330" s="21"/>
      <c r="Z330" s="21"/>
    </row>
    <row r="331" spans="1:26">
      <c r="A331" s="43">
        <v>324</v>
      </c>
      <c r="B331" s="44" t="str">
        <f t="shared" si="72"/>
        <v>27-й год 12-й мес</v>
      </c>
      <c r="C331" s="45">
        <f t="shared" si="78"/>
        <v>51053</v>
      </c>
      <c r="D331" s="46">
        <f t="shared" si="68"/>
        <v>0</v>
      </c>
      <c r="E331" s="47">
        <f t="shared" si="73"/>
        <v>0</v>
      </c>
      <c r="F331" s="47">
        <f t="shared" si="79"/>
        <v>0</v>
      </c>
      <c r="G331" s="48">
        <f t="shared" si="74"/>
        <v>0</v>
      </c>
      <c r="H331" s="49">
        <f t="shared" si="69"/>
        <v>0</v>
      </c>
      <c r="I331" s="47">
        <f t="shared" si="80"/>
        <v>0</v>
      </c>
      <c r="J331" s="47">
        <f t="shared" si="75"/>
        <v>0</v>
      </c>
      <c r="K331" s="50">
        <f t="shared" si="76"/>
        <v>0</v>
      </c>
      <c r="L331" s="63"/>
      <c r="M331" s="67"/>
      <c r="N331" s="51">
        <f t="shared" si="70"/>
        <v>7</v>
      </c>
      <c r="O331" s="19">
        <f t="shared" si="77"/>
        <v>10</v>
      </c>
      <c r="P331" s="20">
        <f t="shared" si="71"/>
        <v>0</v>
      </c>
      <c r="Q331" s="21"/>
      <c r="R331" s="21"/>
      <c r="S331" s="21"/>
      <c r="T331" s="21"/>
      <c r="U331" s="21"/>
      <c r="V331" s="21"/>
      <c r="W331" s="21"/>
      <c r="X331" s="21"/>
      <c r="Y331" s="21"/>
      <c r="Z331" s="21"/>
    </row>
    <row r="332" spans="1:26">
      <c r="A332" s="52">
        <v>325</v>
      </c>
      <c r="B332" s="44" t="str">
        <f t="shared" si="72"/>
        <v>28-й год 1-й мес</v>
      </c>
      <c r="C332" s="45">
        <f t="shared" si="78"/>
        <v>51084</v>
      </c>
      <c r="D332" s="46">
        <f t="shared" si="68"/>
        <v>0</v>
      </c>
      <c r="E332" s="53">
        <f t="shared" si="73"/>
        <v>0</v>
      </c>
      <c r="F332" s="47">
        <f t="shared" si="79"/>
        <v>0</v>
      </c>
      <c r="G332" s="54">
        <f t="shared" si="74"/>
        <v>0</v>
      </c>
      <c r="H332" s="55">
        <f t="shared" si="69"/>
        <v>0</v>
      </c>
      <c r="I332" s="53">
        <f t="shared" si="80"/>
        <v>0</v>
      </c>
      <c r="J332" s="53">
        <f t="shared" si="75"/>
        <v>0</v>
      </c>
      <c r="K332" s="56">
        <f t="shared" si="76"/>
        <v>0</v>
      </c>
      <c r="L332" s="65"/>
      <c r="M332" s="64"/>
      <c r="N332" s="51">
        <f t="shared" si="70"/>
        <v>7</v>
      </c>
      <c r="O332" s="19">
        <f t="shared" si="77"/>
        <v>10</v>
      </c>
      <c r="P332" s="20">
        <f t="shared" si="71"/>
        <v>0</v>
      </c>
      <c r="Q332" s="21"/>
      <c r="R332" s="21"/>
      <c r="S332" s="21"/>
      <c r="T332" s="21"/>
      <c r="U332" s="21"/>
      <c r="V332" s="21"/>
      <c r="W332" s="21"/>
      <c r="X332" s="21"/>
      <c r="Y332" s="21"/>
      <c r="Z332" s="21"/>
    </row>
    <row r="333" spans="1:26">
      <c r="A333" s="57">
        <v>326</v>
      </c>
      <c r="B333" s="44" t="str">
        <f t="shared" si="72"/>
        <v>28-й год 2-й мес</v>
      </c>
      <c r="C333" s="45">
        <f t="shared" si="78"/>
        <v>51114</v>
      </c>
      <c r="D333" s="46">
        <f t="shared" si="68"/>
        <v>0</v>
      </c>
      <c r="E333" s="47">
        <f t="shared" si="73"/>
        <v>0</v>
      </c>
      <c r="F333" s="47">
        <f t="shared" si="79"/>
        <v>0</v>
      </c>
      <c r="G333" s="48">
        <f t="shared" si="74"/>
        <v>0</v>
      </c>
      <c r="H333" s="49">
        <f t="shared" si="69"/>
        <v>0</v>
      </c>
      <c r="I333" s="47">
        <f t="shared" si="80"/>
        <v>0</v>
      </c>
      <c r="J333" s="47">
        <f t="shared" si="75"/>
        <v>0</v>
      </c>
      <c r="K333" s="50">
        <f t="shared" si="76"/>
        <v>0</v>
      </c>
      <c r="L333" s="63"/>
      <c r="M333" s="67"/>
      <c r="N333" s="51">
        <f t="shared" si="70"/>
        <v>7</v>
      </c>
      <c r="O333" s="19">
        <f t="shared" si="77"/>
        <v>10</v>
      </c>
      <c r="P333" s="20">
        <f t="shared" si="71"/>
        <v>0</v>
      </c>
      <c r="Q333" s="21"/>
      <c r="R333" s="21"/>
      <c r="S333" s="21"/>
      <c r="T333" s="21"/>
      <c r="U333" s="21"/>
      <c r="V333" s="21"/>
      <c r="W333" s="21"/>
      <c r="X333" s="21"/>
      <c r="Y333" s="21"/>
      <c r="Z333" s="21"/>
    </row>
    <row r="334" spans="1:26">
      <c r="A334" s="57">
        <v>327</v>
      </c>
      <c r="B334" s="44" t="str">
        <f t="shared" si="72"/>
        <v>28-й год 3-й мес</v>
      </c>
      <c r="C334" s="45">
        <f t="shared" si="78"/>
        <v>51145</v>
      </c>
      <c r="D334" s="46">
        <f t="shared" si="68"/>
        <v>0</v>
      </c>
      <c r="E334" s="47">
        <f t="shared" si="73"/>
        <v>0</v>
      </c>
      <c r="F334" s="47">
        <f t="shared" si="79"/>
        <v>0</v>
      </c>
      <c r="G334" s="48">
        <f t="shared" si="74"/>
        <v>0</v>
      </c>
      <c r="H334" s="49">
        <f t="shared" si="69"/>
        <v>0</v>
      </c>
      <c r="I334" s="47">
        <f t="shared" si="80"/>
        <v>0</v>
      </c>
      <c r="J334" s="47">
        <f t="shared" si="75"/>
        <v>0</v>
      </c>
      <c r="K334" s="50">
        <f t="shared" si="76"/>
        <v>0</v>
      </c>
      <c r="L334" s="63"/>
      <c r="M334" s="67"/>
      <c r="N334" s="51">
        <f t="shared" si="70"/>
        <v>7</v>
      </c>
      <c r="O334" s="19">
        <f t="shared" si="77"/>
        <v>10</v>
      </c>
      <c r="P334" s="20">
        <f t="shared" si="71"/>
        <v>0</v>
      </c>
      <c r="Q334" s="21"/>
      <c r="R334" s="21"/>
      <c r="S334" s="21"/>
      <c r="T334" s="21"/>
      <c r="U334" s="21"/>
      <c r="V334" s="21"/>
      <c r="W334" s="21"/>
      <c r="X334" s="21"/>
      <c r="Y334" s="21"/>
      <c r="Z334" s="21"/>
    </row>
    <row r="335" spans="1:26">
      <c r="A335" s="57">
        <v>328</v>
      </c>
      <c r="B335" s="44" t="str">
        <f t="shared" si="72"/>
        <v>28-й год 4-й мес</v>
      </c>
      <c r="C335" s="45">
        <f t="shared" si="78"/>
        <v>51176</v>
      </c>
      <c r="D335" s="46">
        <f t="shared" si="68"/>
        <v>0</v>
      </c>
      <c r="E335" s="47">
        <f t="shared" si="73"/>
        <v>0</v>
      </c>
      <c r="F335" s="47">
        <f t="shared" si="79"/>
        <v>0</v>
      </c>
      <c r="G335" s="48">
        <f t="shared" si="74"/>
        <v>0</v>
      </c>
      <c r="H335" s="49">
        <f t="shared" si="69"/>
        <v>0</v>
      </c>
      <c r="I335" s="47">
        <f t="shared" si="80"/>
        <v>0</v>
      </c>
      <c r="J335" s="47">
        <f t="shared" si="75"/>
        <v>0</v>
      </c>
      <c r="K335" s="50">
        <f t="shared" si="76"/>
        <v>0</v>
      </c>
      <c r="L335" s="63"/>
      <c r="M335" s="67"/>
      <c r="N335" s="51">
        <f t="shared" si="70"/>
        <v>7</v>
      </c>
      <c r="O335" s="19">
        <f t="shared" si="77"/>
        <v>10</v>
      </c>
      <c r="P335" s="20">
        <f t="shared" si="71"/>
        <v>0</v>
      </c>
      <c r="Q335" s="21"/>
      <c r="R335" s="21"/>
      <c r="S335" s="21"/>
      <c r="T335" s="21"/>
      <c r="U335" s="21"/>
      <c r="V335" s="21"/>
      <c r="W335" s="21"/>
      <c r="X335" s="21"/>
      <c r="Y335" s="21"/>
      <c r="Z335" s="21"/>
    </row>
    <row r="336" spans="1:26">
      <c r="A336" s="57">
        <v>329</v>
      </c>
      <c r="B336" s="44" t="str">
        <f t="shared" si="72"/>
        <v>28-й год 5-й мес</v>
      </c>
      <c r="C336" s="45">
        <f t="shared" si="78"/>
        <v>51205</v>
      </c>
      <c r="D336" s="46">
        <f t="shared" si="68"/>
        <v>0</v>
      </c>
      <c r="E336" s="47">
        <f t="shared" si="73"/>
        <v>0</v>
      </c>
      <c r="F336" s="47">
        <f t="shared" si="79"/>
        <v>0</v>
      </c>
      <c r="G336" s="48">
        <f t="shared" si="74"/>
        <v>0</v>
      </c>
      <c r="H336" s="49">
        <f t="shared" si="69"/>
        <v>0</v>
      </c>
      <c r="I336" s="47">
        <f t="shared" si="80"/>
        <v>0</v>
      </c>
      <c r="J336" s="47">
        <f t="shared" si="75"/>
        <v>0</v>
      </c>
      <c r="K336" s="50">
        <f t="shared" si="76"/>
        <v>0</v>
      </c>
      <c r="L336" s="63"/>
      <c r="M336" s="67"/>
      <c r="N336" s="51">
        <f t="shared" si="70"/>
        <v>7</v>
      </c>
      <c r="O336" s="19">
        <f t="shared" si="77"/>
        <v>10</v>
      </c>
      <c r="P336" s="20">
        <f t="shared" si="71"/>
        <v>0</v>
      </c>
      <c r="Q336" s="21"/>
      <c r="R336" s="21"/>
      <c r="S336" s="21"/>
      <c r="T336" s="21"/>
      <c r="U336" s="21"/>
      <c r="V336" s="21"/>
      <c r="W336" s="21"/>
      <c r="X336" s="21"/>
      <c r="Y336" s="21"/>
      <c r="Z336" s="21"/>
    </row>
    <row r="337" spans="1:26">
      <c r="A337" s="57">
        <v>330</v>
      </c>
      <c r="B337" s="44" t="str">
        <f t="shared" si="72"/>
        <v>28-й год 6-й мес</v>
      </c>
      <c r="C337" s="45">
        <f t="shared" si="78"/>
        <v>51236</v>
      </c>
      <c r="D337" s="46">
        <f t="shared" si="68"/>
        <v>0</v>
      </c>
      <c r="E337" s="47">
        <f t="shared" si="73"/>
        <v>0</v>
      </c>
      <c r="F337" s="47">
        <f t="shared" si="79"/>
        <v>0</v>
      </c>
      <c r="G337" s="48">
        <f t="shared" si="74"/>
        <v>0</v>
      </c>
      <c r="H337" s="49">
        <f t="shared" si="69"/>
        <v>0</v>
      </c>
      <c r="I337" s="47">
        <f t="shared" si="80"/>
        <v>0</v>
      </c>
      <c r="J337" s="47">
        <f t="shared" si="75"/>
        <v>0</v>
      </c>
      <c r="K337" s="50">
        <f t="shared" si="76"/>
        <v>0</v>
      </c>
      <c r="L337" s="63"/>
      <c r="M337" s="67"/>
      <c r="N337" s="51">
        <f t="shared" si="70"/>
        <v>7</v>
      </c>
      <c r="O337" s="19">
        <f t="shared" si="77"/>
        <v>10</v>
      </c>
      <c r="P337" s="20">
        <f t="shared" si="71"/>
        <v>0</v>
      </c>
      <c r="Q337" s="21"/>
      <c r="R337" s="21"/>
      <c r="S337" s="21"/>
      <c r="T337" s="21"/>
      <c r="U337" s="21"/>
      <c r="V337" s="21"/>
      <c r="W337" s="21"/>
      <c r="X337" s="21"/>
      <c r="Y337" s="21"/>
      <c r="Z337" s="21"/>
    </row>
    <row r="338" spans="1:26">
      <c r="A338" s="57">
        <v>331</v>
      </c>
      <c r="B338" s="44" t="str">
        <f t="shared" si="72"/>
        <v>28-й год 7-й мес</v>
      </c>
      <c r="C338" s="45">
        <f t="shared" si="78"/>
        <v>51266</v>
      </c>
      <c r="D338" s="46">
        <f t="shared" si="68"/>
        <v>0</v>
      </c>
      <c r="E338" s="47">
        <f t="shared" si="73"/>
        <v>0</v>
      </c>
      <c r="F338" s="47">
        <f t="shared" si="79"/>
        <v>0</v>
      </c>
      <c r="G338" s="48">
        <f t="shared" si="74"/>
        <v>0</v>
      </c>
      <c r="H338" s="49">
        <f t="shared" si="69"/>
        <v>0</v>
      </c>
      <c r="I338" s="47">
        <f t="shared" si="80"/>
        <v>0</v>
      </c>
      <c r="J338" s="47">
        <f t="shared" si="75"/>
        <v>0</v>
      </c>
      <c r="K338" s="50">
        <f t="shared" si="76"/>
        <v>0</v>
      </c>
      <c r="L338" s="63"/>
      <c r="M338" s="67"/>
      <c r="N338" s="51">
        <f t="shared" si="70"/>
        <v>7</v>
      </c>
      <c r="O338" s="19">
        <f t="shared" si="77"/>
        <v>10</v>
      </c>
      <c r="P338" s="20">
        <f t="shared" si="71"/>
        <v>0</v>
      </c>
      <c r="Q338" s="21"/>
      <c r="R338" s="21"/>
      <c r="S338" s="21"/>
      <c r="T338" s="21"/>
      <c r="U338" s="21"/>
      <c r="V338" s="21"/>
      <c r="W338" s="21"/>
      <c r="X338" s="21"/>
      <c r="Y338" s="21"/>
      <c r="Z338" s="21"/>
    </row>
    <row r="339" spans="1:26">
      <c r="A339" s="57">
        <v>332</v>
      </c>
      <c r="B339" s="44" t="str">
        <f t="shared" si="72"/>
        <v>28-й год 8-й мес</v>
      </c>
      <c r="C339" s="45">
        <f t="shared" si="78"/>
        <v>51297</v>
      </c>
      <c r="D339" s="46">
        <f t="shared" si="68"/>
        <v>0</v>
      </c>
      <c r="E339" s="47">
        <f t="shared" si="73"/>
        <v>0</v>
      </c>
      <c r="F339" s="47">
        <f t="shared" si="79"/>
        <v>0</v>
      </c>
      <c r="G339" s="48">
        <f t="shared" si="74"/>
        <v>0</v>
      </c>
      <c r="H339" s="49">
        <f t="shared" si="69"/>
        <v>0</v>
      </c>
      <c r="I339" s="47">
        <f t="shared" si="80"/>
        <v>0</v>
      </c>
      <c r="J339" s="47">
        <f t="shared" si="75"/>
        <v>0</v>
      </c>
      <c r="K339" s="50">
        <f t="shared" si="76"/>
        <v>0</v>
      </c>
      <c r="L339" s="63"/>
      <c r="M339" s="67"/>
      <c r="N339" s="51">
        <f t="shared" si="70"/>
        <v>7</v>
      </c>
      <c r="O339" s="19">
        <f t="shared" si="77"/>
        <v>10</v>
      </c>
      <c r="P339" s="20">
        <f t="shared" si="71"/>
        <v>0</v>
      </c>
      <c r="Q339" s="21"/>
      <c r="R339" s="21"/>
      <c r="S339" s="21"/>
      <c r="T339" s="21"/>
      <c r="U339" s="21"/>
      <c r="V339" s="21"/>
      <c r="W339" s="21"/>
      <c r="X339" s="21"/>
      <c r="Y339" s="21"/>
      <c r="Z339" s="21"/>
    </row>
    <row r="340" spans="1:26">
      <c r="A340" s="57">
        <v>333</v>
      </c>
      <c r="B340" s="44" t="str">
        <f t="shared" si="72"/>
        <v>28-й год 9-й мес</v>
      </c>
      <c r="C340" s="45">
        <f t="shared" si="78"/>
        <v>51327</v>
      </c>
      <c r="D340" s="46">
        <f t="shared" si="68"/>
        <v>0</v>
      </c>
      <c r="E340" s="47">
        <f t="shared" si="73"/>
        <v>0</v>
      </c>
      <c r="F340" s="47">
        <f t="shared" si="79"/>
        <v>0</v>
      </c>
      <c r="G340" s="48">
        <f t="shared" si="74"/>
        <v>0</v>
      </c>
      <c r="H340" s="49">
        <f t="shared" si="69"/>
        <v>0</v>
      </c>
      <c r="I340" s="47">
        <f t="shared" si="80"/>
        <v>0</v>
      </c>
      <c r="J340" s="47">
        <f t="shared" si="75"/>
        <v>0</v>
      </c>
      <c r="K340" s="50">
        <f t="shared" si="76"/>
        <v>0</v>
      </c>
      <c r="L340" s="63"/>
      <c r="M340" s="67"/>
      <c r="N340" s="51">
        <f t="shared" si="70"/>
        <v>7</v>
      </c>
      <c r="O340" s="19">
        <f t="shared" si="77"/>
        <v>10</v>
      </c>
      <c r="P340" s="20">
        <f t="shared" si="71"/>
        <v>0</v>
      </c>
      <c r="Q340" s="21"/>
      <c r="R340" s="21"/>
      <c r="S340" s="21"/>
      <c r="T340" s="21"/>
      <c r="U340" s="21"/>
      <c r="V340" s="21"/>
      <c r="W340" s="21"/>
      <c r="X340" s="21"/>
      <c r="Y340" s="21"/>
      <c r="Z340" s="21"/>
    </row>
    <row r="341" spans="1:26">
      <c r="A341" s="57">
        <v>334</v>
      </c>
      <c r="B341" s="44" t="str">
        <f t="shared" si="72"/>
        <v>28-й год 10-й мес</v>
      </c>
      <c r="C341" s="45">
        <f t="shared" si="78"/>
        <v>51358</v>
      </c>
      <c r="D341" s="46">
        <f t="shared" si="68"/>
        <v>0</v>
      </c>
      <c r="E341" s="47">
        <f t="shared" si="73"/>
        <v>0</v>
      </c>
      <c r="F341" s="47">
        <f t="shared" si="79"/>
        <v>0</v>
      </c>
      <c r="G341" s="48">
        <f t="shared" si="74"/>
        <v>0</v>
      </c>
      <c r="H341" s="49">
        <f t="shared" si="69"/>
        <v>0</v>
      </c>
      <c r="I341" s="47">
        <f t="shared" si="80"/>
        <v>0</v>
      </c>
      <c r="J341" s="47">
        <f t="shared" si="75"/>
        <v>0</v>
      </c>
      <c r="K341" s="50">
        <f t="shared" si="76"/>
        <v>0</v>
      </c>
      <c r="L341" s="63"/>
      <c r="M341" s="67"/>
      <c r="N341" s="51">
        <f t="shared" si="70"/>
        <v>7</v>
      </c>
      <c r="O341" s="19">
        <f t="shared" si="77"/>
        <v>10</v>
      </c>
      <c r="P341" s="20">
        <f t="shared" si="71"/>
        <v>0</v>
      </c>
      <c r="Q341" s="21"/>
      <c r="R341" s="21"/>
      <c r="S341" s="21"/>
      <c r="T341" s="21"/>
      <c r="U341" s="21"/>
      <c r="V341" s="21"/>
      <c r="W341" s="21"/>
      <c r="X341" s="21"/>
      <c r="Y341" s="21"/>
      <c r="Z341" s="21"/>
    </row>
    <row r="342" spans="1:26">
      <c r="A342" s="57">
        <v>335</v>
      </c>
      <c r="B342" s="44" t="str">
        <f t="shared" si="72"/>
        <v>28-й год 11-й мес</v>
      </c>
      <c r="C342" s="45">
        <f t="shared" si="78"/>
        <v>51389</v>
      </c>
      <c r="D342" s="46">
        <f t="shared" si="68"/>
        <v>0</v>
      </c>
      <c r="E342" s="47">
        <f t="shared" si="73"/>
        <v>0</v>
      </c>
      <c r="F342" s="47">
        <f t="shared" si="79"/>
        <v>0</v>
      </c>
      <c r="G342" s="48">
        <f t="shared" si="74"/>
        <v>0</v>
      </c>
      <c r="H342" s="49">
        <f t="shared" si="69"/>
        <v>0</v>
      </c>
      <c r="I342" s="47">
        <f t="shared" si="80"/>
        <v>0</v>
      </c>
      <c r="J342" s="47">
        <f t="shared" si="75"/>
        <v>0</v>
      </c>
      <c r="K342" s="50">
        <f t="shared" si="76"/>
        <v>0</v>
      </c>
      <c r="L342" s="63"/>
      <c r="M342" s="67"/>
      <c r="N342" s="51">
        <f t="shared" si="70"/>
        <v>7</v>
      </c>
      <c r="O342" s="19">
        <f t="shared" si="77"/>
        <v>10</v>
      </c>
      <c r="P342" s="20">
        <f t="shared" si="71"/>
        <v>0</v>
      </c>
      <c r="Q342" s="21"/>
      <c r="R342" s="21"/>
      <c r="S342" s="21"/>
      <c r="T342" s="21"/>
      <c r="U342" s="21"/>
      <c r="V342" s="21"/>
      <c r="W342" s="21"/>
      <c r="X342" s="21"/>
      <c r="Y342" s="21"/>
      <c r="Z342" s="21"/>
    </row>
    <row r="343" spans="1:26">
      <c r="A343" s="58">
        <v>336</v>
      </c>
      <c r="B343" s="44" t="str">
        <f t="shared" si="72"/>
        <v>28-й год 12-й мес</v>
      </c>
      <c r="C343" s="45">
        <f t="shared" si="78"/>
        <v>51419</v>
      </c>
      <c r="D343" s="46">
        <f t="shared" si="68"/>
        <v>0</v>
      </c>
      <c r="E343" s="59">
        <f t="shared" si="73"/>
        <v>0</v>
      </c>
      <c r="F343" s="47">
        <f t="shared" si="79"/>
        <v>0</v>
      </c>
      <c r="G343" s="60">
        <f t="shared" si="74"/>
        <v>0</v>
      </c>
      <c r="H343" s="61">
        <f t="shared" si="69"/>
        <v>0</v>
      </c>
      <c r="I343" s="59">
        <f t="shared" si="80"/>
        <v>0</v>
      </c>
      <c r="J343" s="59">
        <f t="shared" si="75"/>
        <v>0</v>
      </c>
      <c r="K343" s="62">
        <f t="shared" si="76"/>
        <v>0</v>
      </c>
      <c r="L343" s="66"/>
      <c r="M343" s="68"/>
      <c r="N343" s="51">
        <f t="shared" si="70"/>
        <v>7</v>
      </c>
      <c r="O343" s="19">
        <f t="shared" si="77"/>
        <v>10</v>
      </c>
      <c r="P343" s="20">
        <f t="shared" si="71"/>
        <v>0</v>
      </c>
      <c r="Q343" s="21"/>
      <c r="R343" s="21"/>
      <c r="S343" s="21"/>
      <c r="T343" s="21"/>
      <c r="U343" s="21"/>
      <c r="V343" s="21"/>
      <c r="W343" s="21"/>
      <c r="X343" s="21"/>
      <c r="Y343" s="21"/>
      <c r="Z343" s="21"/>
    </row>
    <row r="344" spans="1:26">
      <c r="A344" s="43">
        <v>337</v>
      </c>
      <c r="B344" s="44" t="str">
        <f t="shared" si="72"/>
        <v>29-й год 1-й мес</v>
      </c>
      <c r="C344" s="45">
        <f t="shared" si="78"/>
        <v>51450</v>
      </c>
      <c r="D344" s="46">
        <f t="shared" si="68"/>
        <v>0</v>
      </c>
      <c r="E344" s="47">
        <f t="shared" si="73"/>
        <v>0</v>
      </c>
      <c r="F344" s="47">
        <f t="shared" si="79"/>
        <v>0</v>
      </c>
      <c r="G344" s="48">
        <f t="shared" si="74"/>
        <v>0</v>
      </c>
      <c r="H344" s="49">
        <f t="shared" si="69"/>
        <v>0</v>
      </c>
      <c r="I344" s="47">
        <f t="shared" si="80"/>
        <v>0</v>
      </c>
      <c r="J344" s="47">
        <f t="shared" si="75"/>
        <v>0</v>
      </c>
      <c r="K344" s="50">
        <f t="shared" si="76"/>
        <v>0</v>
      </c>
      <c r="L344" s="63"/>
      <c r="M344" s="67"/>
      <c r="N344" s="51">
        <f t="shared" si="70"/>
        <v>7</v>
      </c>
      <c r="O344" s="19">
        <f t="shared" si="77"/>
        <v>10</v>
      </c>
      <c r="P344" s="20">
        <f t="shared" si="71"/>
        <v>0</v>
      </c>
      <c r="Q344" s="21"/>
      <c r="R344" s="21"/>
      <c r="S344" s="21"/>
      <c r="T344" s="21"/>
      <c r="U344" s="21"/>
      <c r="V344" s="21"/>
      <c r="W344" s="21"/>
      <c r="X344" s="21"/>
      <c r="Y344" s="21"/>
      <c r="Z344" s="21"/>
    </row>
    <row r="345" spans="1:26">
      <c r="A345" s="43">
        <v>338</v>
      </c>
      <c r="B345" s="44" t="str">
        <f t="shared" si="72"/>
        <v>29-й год 2-й мес</v>
      </c>
      <c r="C345" s="45">
        <f t="shared" si="78"/>
        <v>51480</v>
      </c>
      <c r="D345" s="46">
        <f t="shared" si="68"/>
        <v>0</v>
      </c>
      <c r="E345" s="47">
        <f t="shared" si="73"/>
        <v>0</v>
      </c>
      <c r="F345" s="47">
        <f t="shared" si="79"/>
        <v>0</v>
      </c>
      <c r="G345" s="48">
        <f t="shared" si="74"/>
        <v>0</v>
      </c>
      <c r="H345" s="49">
        <f t="shared" si="69"/>
        <v>0</v>
      </c>
      <c r="I345" s="47">
        <f t="shared" si="80"/>
        <v>0</v>
      </c>
      <c r="J345" s="47">
        <f t="shared" si="75"/>
        <v>0</v>
      </c>
      <c r="K345" s="50">
        <f t="shared" si="76"/>
        <v>0</v>
      </c>
      <c r="L345" s="63"/>
      <c r="M345" s="67"/>
      <c r="N345" s="51">
        <f t="shared" si="70"/>
        <v>7</v>
      </c>
      <c r="O345" s="19">
        <f t="shared" si="77"/>
        <v>10</v>
      </c>
      <c r="P345" s="20">
        <f t="shared" si="71"/>
        <v>0</v>
      </c>
      <c r="Q345" s="21"/>
      <c r="R345" s="21"/>
      <c r="S345" s="21"/>
      <c r="T345" s="21"/>
      <c r="U345" s="21"/>
      <c r="V345" s="21"/>
      <c r="W345" s="21"/>
      <c r="X345" s="21"/>
      <c r="Y345" s="21"/>
      <c r="Z345" s="21"/>
    </row>
    <row r="346" spans="1:26">
      <c r="A346" s="43">
        <v>339</v>
      </c>
      <c r="B346" s="44" t="str">
        <f t="shared" si="72"/>
        <v>29-й год 3-й мес</v>
      </c>
      <c r="C346" s="45">
        <f t="shared" si="78"/>
        <v>51511</v>
      </c>
      <c r="D346" s="46">
        <f t="shared" si="68"/>
        <v>0</v>
      </c>
      <c r="E346" s="47">
        <f t="shared" si="73"/>
        <v>0</v>
      </c>
      <c r="F346" s="47">
        <f t="shared" si="79"/>
        <v>0</v>
      </c>
      <c r="G346" s="48">
        <f t="shared" si="74"/>
        <v>0</v>
      </c>
      <c r="H346" s="49">
        <f t="shared" si="69"/>
        <v>0</v>
      </c>
      <c r="I346" s="47">
        <f t="shared" si="80"/>
        <v>0</v>
      </c>
      <c r="J346" s="47">
        <f t="shared" si="75"/>
        <v>0</v>
      </c>
      <c r="K346" s="50">
        <f t="shared" si="76"/>
        <v>0</v>
      </c>
      <c r="L346" s="63"/>
      <c r="M346" s="67"/>
      <c r="N346" s="51">
        <f t="shared" si="70"/>
        <v>7</v>
      </c>
      <c r="O346" s="19">
        <f t="shared" si="77"/>
        <v>10</v>
      </c>
      <c r="P346" s="20">
        <f t="shared" si="71"/>
        <v>0</v>
      </c>
      <c r="Q346" s="21"/>
      <c r="R346" s="21"/>
      <c r="S346" s="21"/>
      <c r="T346" s="21"/>
      <c r="U346" s="21"/>
      <c r="V346" s="21"/>
      <c r="W346" s="21"/>
      <c r="X346" s="21"/>
      <c r="Y346" s="21"/>
      <c r="Z346" s="21"/>
    </row>
    <row r="347" spans="1:26">
      <c r="A347" s="43">
        <v>340</v>
      </c>
      <c r="B347" s="44" t="str">
        <f t="shared" si="72"/>
        <v>29-й год 4-й мес</v>
      </c>
      <c r="C347" s="45">
        <f t="shared" si="78"/>
        <v>51542</v>
      </c>
      <c r="D347" s="46">
        <f t="shared" si="68"/>
        <v>0</v>
      </c>
      <c r="E347" s="47">
        <f t="shared" si="73"/>
        <v>0</v>
      </c>
      <c r="F347" s="47">
        <f t="shared" si="79"/>
        <v>0</v>
      </c>
      <c r="G347" s="48">
        <f t="shared" si="74"/>
        <v>0</v>
      </c>
      <c r="H347" s="49">
        <f t="shared" si="69"/>
        <v>0</v>
      </c>
      <c r="I347" s="47">
        <f t="shared" si="80"/>
        <v>0</v>
      </c>
      <c r="J347" s="47">
        <f t="shared" si="75"/>
        <v>0</v>
      </c>
      <c r="K347" s="50">
        <f t="shared" si="76"/>
        <v>0</v>
      </c>
      <c r="L347" s="63"/>
      <c r="M347" s="67"/>
      <c r="N347" s="51">
        <f t="shared" si="70"/>
        <v>7</v>
      </c>
      <c r="O347" s="19">
        <f t="shared" si="77"/>
        <v>10</v>
      </c>
      <c r="P347" s="20">
        <f t="shared" si="71"/>
        <v>0</v>
      </c>
      <c r="Q347" s="21"/>
      <c r="R347" s="21"/>
      <c r="S347" s="21"/>
      <c r="T347" s="21"/>
      <c r="U347" s="21"/>
      <c r="V347" s="21"/>
      <c r="W347" s="21"/>
      <c r="X347" s="21"/>
      <c r="Y347" s="21"/>
      <c r="Z347" s="21"/>
    </row>
    <row r="348" spans="1:26">
      <c r="A348" s="43">
        <v>341</v>
      </c>
      <c r="B348" s="44" t="str">
        <f t="shared" si="72"/>
        <v>29-й год 5-й мес</v>
      </c>
      <c r="C348" s="45">
        <f t="shared" si="78"/>
        <v>51570</v>
      </c>
      <c r="D348" s="46">
        <f t="shared" si="68"/>
        <v>0</v>
      </c>
      <c r="E348" s="47">
        <f t="shared" si="73"/>
        <v>0</v>
      </c>
      <c r="F348" s="47">
        <f t="shared" si="79"/>
        <v>0</v>
      </c>
      <c r="G348" s="48">
        <f t="shared" si="74"/>
        <v>0</v>
      </c>
      <c r="H348" s="49">
        <f t="shared" si="69"/>
        <v>0</v>
      </c>
      <c r="I348" s="47">
        <f t="shared" si="80"/>
        <v>0</v>
      </c>
      <c r="J348" s="47">
        <f t="shared" si="75"/>
        <v>0</v>
      </c>
      <c r="K348" s="50">
        <f t="shared" si="76"/>
        <v>0</v>
      </c>
      <c r="L348" s="63"/>
      <c r="M348" s="67"/>
      <c r="N348" s="51">
        <f t="shared" si="70"/>
        <v>7</v>
      </c>
      <c r="O348" s="19">
        <f t="shared" si="77"/>
        <v>10</v>
      </c>
      <c r="P348" s="20">
        <f t="shared" si="71"/>
        <v>0</v>
      </c>
      <c r="Q348" s="21"/>
      <c r="R348" s="21"/>
      <c r="S348" s="21"/>
      <c r="T348" s="21"/>
      <c r="U348" s="21"/>
      <c r="V348" s="21"/>
      <c r="W348" s="21"/>
      <c r="X348" s="21"/>
      <c r="Y348" s="21"/>
      <c r="Z348" s="21"/>
    </row>
    <row r="349" spans="1:26">
      <c r="A349" s="43">
        <v>342</v>
      </c>
      <c r="B349" s="44" t="str">
        <f t="shared" si="72"/>
        <v>29-й год 6-й мес</v>
      </c>
      <c r="C349" s="45">
        <f t="shared" si="78"/>
        <v>51601</v>
      </c>
      <c r="D349" s="46">
        <f t="shared" si="68"/>
        <v>0</v>
      </c>
      <c r="E349" s="47">
        <f t="shared" si="73"/>
        <v>0</v>
      </c>
      <c r="F349" s="47">
        <f t="shared" si="79"/>
        <v>0</v>
      </c>
      <c r="G349" s="48">
        <f t="shared" si="74"/>
        <v>0</v>
      </c>
      <c r="H349" s="49">
        <f t="shared" si="69"/>
        <v>0</v>
      </c>
      <c r="I349" s="47">
        <f t="shared" si="80"/>
        <v>0</v>
      </c>
      <c r="J349" s="47">
        <f t="shared" si="75"/>
        <v>0</v>
      </c>
      <c r="K349" s="50">
        <f t="shared" si="76"/>
        <v>0</v>
      </c>
      <c r="L349" s="63"/>
      <c r="M349" s="67"/>
      <c r="N349" s="51">
        <f t="shared" si="70"/>
        <v>7</v>
      </c>
      <c r="O349" s="19">
        <f t="shared" si="77"/>
        <v>10</v>
      </c>
      <c r="P349" s="20">
        <f t="shared" si="71"/>
        <v>0</v>
      </c>
      <c r="Q349" s="21"/>
      <c r="R349" s="21"/>
      <c r="S349" s="21"/>
      <c r="T349" s="21"/>
      <c r="U349" s="21"/>
      <c r="V349" s="21"/>
      <c r="W349" s="21"/>
      <c r="X349" s="21"/>
      <c r="Y349" s="21"/>
      <c r="Z349" s="21"/>
    </row>
    <row r="350" spans="1:26">
      <c r="A350" s="43">
        <v>343</v>
      </c>
      <c r="B350" s="44" t="str">
        <f t="shared" si="72"/>
        <v>29-й год 7-й мес</v>
      </c>
      <c r="C350" s="45">
        <f t="shared" si="78"/>
        <v>51631</v>
      </c>
      <c r="D350" s="46">
        <f t="shared" si="68"/>
        <v>0</v>
      </c>
      <c r="E350" s="47">
        <f t="shared" si="73"/>
        <v>0</v>
      </c>
      <c r="F350" s="47">
        <f t="shared" si="79"/>
        <v>0</v>
      </c>
      <c r="G350" s="48">
        <f t="shared" si="74"/>
        <v>0</v>
      </c>
      <c r="H350" s="49">
        <f t="shared" si="69"/>
        <v>0</v>
      </c>
      <c r="I350" s="47">
        <f t="shared" si="80"/>
        <v>0</v>
      </c>
      <c r="J350" s="47">
        <f t="shared" si="75"/>
        <v>0</v>
      </c>
      <c r="K350" s="50">
        <f t="shared" si="76"/>
        <v>0</v>
      </c>
      <c r="L350" s="63"/>
      <c r="M350" s="67"/>
      <c r="N350" s="51">
        <f t="shared" si="70"/>
        <v>7</v>
      </c>
      <c r="O350" s="19">
        <f t="shared" si="77"/>
        <v>10</v>
      </c>
      <c r="P350" s="20">
        <f t="shared" si="71"/>
        <v>0</v>
      </c>
      <c r="Q350" s="21"/>
      <c r="R350" s="21"/>
      <c r="S350" s="21"/>
      <c r="T350" s="21"/>
      <c r="U350" s="21"/>
      <c r="V350" s="21"/>
      <c r="W350" s="21"/>
      <c r="X350" s="21"/>
      <c r="Y350" s="21"/>
      <c r="Z350" s="21"/>
    </row>
    <row r="351" spans="1:26">
      <c r="A351" s="43">
        <v>344</v>
      </c>
      <c r="B351" s="44" t="str">
        <f t="shared" si="72"/>
        <v>29-й год 8-й мес</v>
      </c>
      <c r="C351" s="45">
        <f t="shared" si="78"/>
        <v>51662</v>
      </c>
      <c r="D351" s="46">
        <f t="shared" si="68"/>
        <v>0</v>
      </c>
      <c r="E351" s="47">
        <f t="shared" si="73"/>
        <v>0</v>
      </c>
      <c r="F351" s="47">
        <f t="shared" si="79"/>
        <v>0</v>
      </c>
      <c r="G351" s="48">
        <f t="shared" si="74"/>
        <v>0</v>
      </c>
      <c r="H351" s="49">
        <f t="shared" si="69"/>
        <v>0</v>
      </c>
      <c r="I351" s="47">
        <f t="shared" si="80"/>
        <v>0</v>
      </c>
      <c r="J351" s="47">
        <f t="shared" si="75"/>
        <v>0</v>
      </c>
      <c r="K351" s="50">
        <f t="shared" si="76"/>
        <v>0</v>
      </c>
      <c r="L351" s="63"/>
      <c r="M351" s="67"/>
      <c r="N351" s="51">
        <f t="shared" si="70"/>
        <v>7</v>
      </c>
      <c r="O351" s="19">
        <f t="shared" si="77"/>
        <v>10</v>
      </c>
      <c r="P351" s="20">
        <f t="shared" si="71"/>
        <v>0</v>
      </c>
      <c r="Q351" s="21"/>
      <c r="R351" s="21"/>
      <c r="S351" s="21"/>
      <c r="T351" s="21"/>
      <c r="U351" s="21"/>
      <c r="V351" s="21"/>
      <c r="W351" s="21"/>
      <c r="X351" s="21"/>
      <c r="Y351" s="21"/>
      <c r="Z351" s="21"/>
    </row>
    <row r="352" spans="1:26">
      <c r="A352" s="43">
        <v>345</v>
      </c>
      <c r="B352" s="44" t="str">
        <f t="shared" si="72"/>
        <v>29-й год 9-й мес</v>
      </c>
      <c r="C352" s="45">
        <f t="shared" si="78"/>
        <v>51692</v>
      </c>
      <c r="D352" s="46">
        <f t="shared" si="68"/>
        <v>0</v>
      </c>
      <c r="E352" s="47">
        <f t="shared" si="73"/>
        <v>0</v>
      </c>
      <c r="F352" s="47">
        <f t="shared" si="79"/>
        <v>0</v>
      </c>
      <c r="G352" s="48">
        <f t="shared" si="74"/>
        <v>0</v>
      </c>
      <c r="H352" s="49">
        <f t="shared" si="69"/>
        <v>0</v>
      </c>
      <c r="I352" s="47">
        <f t="shared" si="80"/>
        <v>0</v>
      </c>
      <c r="J352" s="47">
        <f t="shared" si="75"/>
        <v>0</v>
      </c>
      <c r="K352" s="50">
        <f t="shared" si="76"/>
        <v>0</v>
      </c>
      <c r="L352" s="63"/>
      <c r="M352" s="67"/>
      <c r="N352" s="51">
        <f t="shared" si="70"/>
        <v>7</v>
      </c>
      <c r="O352" s="19">
        <f t="shared" si="77"/>
        <v>10</v>
      </c>
      <c r="P352" s="20">
        <f t="shared" si="71"/>
        <v>0</v>
      </c>
      <c r="Q352" s="21"/>
      <c r="R352" s="21"/>
      <c r="S352" s="21"/>
      <c r="T352" s="21"/>
      <c r="U352" s="21"/>
      <c r="V352" s="21"/>
      <c r="W352" s="21"/>
      <c r="X352" s="21"/>
      <c r="Y352" s="21"/>
      <c r="Z352" s="21"/>
    </row>
    <row r="353" spans="1:26">
      <c r="A353" s="43">
        <v>346</v>
      </c>
      <c r="B353" s="44" t="str">
        <f t="shared" si="72"/>
        <v>29-й год 10-й мес</v>
      </c>
      <c r="C353" s="45">
        <f t="shared" si="78"/>
        <v>51723</v>
      </c>
      <c r="D353" s="46">
        <f t="shared" si="68"/>
        <v>0</v>
      </c>
      <c r="E353" s="47">
        <f t="shared" si="73"/>
        <v>0</v>
      </c>
      <c r="F353" s="47">
        <f t="shared" si="79"/>
        <v>0</v>
      </c>
      <c r="G353" s="48">
        <f t="shared" si="74"/>
        <v>0</v>
      </c>
      <c r="H353" s="49">
        <f t="shared" si="69"/>
        <v>0</v>
      </c>
      <c r="I353" s="47">
        <f t="shared" si="80"/>
        <v>0</v>
      </c>
      <c r="J353" s="47">
        <f t="shared" si="75"/>
        <v>0</v>
      </c>
      <c r="K353" s="50">
        <f t="shared" si="76"/>
        <v>0</v>
      </c>
      <c r="L353" s="63"/>
      <c r="M353" s="67"/>
      <c r="N353" s="51">
        <f t="shared" si="70"/>
        <v>7</v>
      </c>
      <c r="O353" s="19">
        <f t="shared" si="77"/>
        <v>10</v>
      </c>
      <c r="P353" s="20">
        <f t="shared" si="71"/>
        <v>0</v>
      </c>
      <c r="Q353" s="21"/>
      <c r="R353" s="21"/>
      <c r="S353" s="21"/>
      <c r="T353" s="21"/>
      <c r="U353" s="21"/>
      <c r="V353" s="21"/>
      <c r="W353" s="21"/>
      <c r="X353" s="21"/>
      <c r="Y353" s="21"/>
      <c r="Z353" s="21"/>
    </row>
    <row r="354" spans="1:26">
      <c r="A354" s="43">
        <v>347</v>
      </c>
      <c r="B354" s="44" t="str">
        <f t="shared" si="72"/>
        <v>29-й год 11-й мес</v>
      </c>
      <c r="C354" s="45">
        <f t="shared" si="78"/>
        <v>51754</v>
      </c>
      <c r="D354" s="46">
        <f t="shared" si="68"/>
        <v>0</v>
      </c>
      <c r="E354" s="47">
        <f t="shared" si="73"/>
        <v>0</v>
      </c>
      <c r="F354" s="47">
        <f t="shared" si="79"/>
        <v>0</v>
      </c>
      <c r="G354" s="48">
        <f t="shared" si="74"/>
        <v>0</v>
      </c>
      <c r="H354" s="49">
        <f t="shared" si="69"/>
        <v>0</v>
      </c>
      <c r="I354" s="47">
        <f t="shared" si="80"/>
        <v>0</v>
      </c>
      <c r="J354" s="47">
        <f t="shared" si="75"/>
        <v>0</v>
      </c>
      <c r="K354" s="50">
        <f t="shared" si="76"/>
        <v>0</v>
      </c>
      <c r="L354" s="63"/>
      <c r="M354" s="67"/>
      <c r="N354" s="51">
        <f t="shared" si="70"/>
        <v>7</v>
      </c>
      <c r="O354" s="19">
        <f t="shared" si="77"/>
        <v>10</v>
      </c>
      <c r="P354" s="20">
        <f t="shared" si="71"/>
        <v>0</v>
      </c>
      <c r="Q354" s="21"/>
      <c r="R354" s="21"/>
      <c r="S354" s="21"/>
      <c r="T354" s="21"/>
      <c r="U354" s="21"/>
      <c r="V354" s="21"/>
      <c r="W354" s="21"/>
      <c r="X354" s="21"/>
      <c r="Y354" s="21"/>
      <c r="Z354" s="21"/>
    </row>
    <row r="355" spans="1:26">
      <c r="A355" s="43">
        <v>348</v>
      </c>
      <c r="B355" s="44" t="str">
        <f t="shared" si="72"/>
        <v>29-й год 12-й мес</v>
      </c>
      <c r="C355" s="45">
        <f t="shared" si="78"/>
        <v>51784</v>
      </c>
      <c r="D355" s="46">
        <f t="shared" si="68"/>
        <v>0</v>
      </c>
      <c r="E355" s="47">
        <f t="shared" si="73"/>
        <v>0</v>
      </c>
      <c r="F355" s="47">
        <f t="shared" si="79"/>
        <v>0</v>
      </c>
      <c r="G355" s="48">
        <f t="shared" si="74"/>
        <v>0</v>
      </c>
      <c r="H355" s="49">
        <f t="shared" si="69"/>
        <v>0</v>
      </c>
      <c r="I355" s="47">
        <f t="shared" si="80"/>
        <v>0</v>
      </c>
      <c r="J355" s="47">
        <f t="shared" si="75"/>
        <v>0</v>
      </c>
      <c r="K355" s="50">
        <f t="shared" si="76"/>
        <v>0</v>
      </c>
      <c r="L355" s="63"/>
      <c r="M355" s="67"/>
      <c r="N355" s="51">
        <f t="shared" si="70"/>
        <v>7</v>
      </c>
      <c r="O355" s="19">
        <f t="shared" si="77"/>
        <v>10</v>
      </c>
      <c r="P355" s="20">
        <f t="shared" si="71"/>
        <v>0</v>
      </c>
      <c r="Q355" s="21"/>
      <c r="R355" s="21"/>
      <c r="S355" s="21"/>
      <c r="T355" s="21"/>
      <c r="U355" s="21"/>
      <c r="V355" s="21"/>
      <c r="W355" s="21"/>
      <c r="X355" s="21"/>
      <c r="Y355" s="21"/>
      <c r="Z355" s="21"/>
    </row>
    <row r="356" spans="1:26">
      <c r="A356" s="52">
        <v>349</v>
      </c>
      <c r="B356" s="44" t="str">
        <f t="shared" si="72"/>
        <v>30-й год 1-й мес</v>
      </c>
      <c r="C356" s="45">
        <f t="shared" si="78"/>
        <v>51815</v>
      </c>
      <c r="D356" s="46">
        <f t="shared" si="68"/>
        <v>0</v>
      </c>
      <c r="E356" s="53">
        <f t="shared" si="73"/>
        <v>0</v>
      </c>
      <c r="F356" s="47">
        <f t="shared" si="79"/>
        <v>0</v>
      </c>
      <c r="G356" s="54">
        <f t="shared" si="74"/>
        <v>0</v>
      </c>
      <c r="H356" s="55">
        <f t="shared" si="69"/>
        <v>0</v>
      </c>
      <c r="I356" s="53">
        <f t="shared" si="80"/>
        <v>0</v>
      </c>
      <c r="J356" s="53">
        <f t="shared" si="75"/>
        <v>0</v>
      </c>
      <c r="K356" s="56">
        <f t="shared" si="76"/>
        <v>0</v>
      </c>
      <c r="L356" s="65"/>
      <c r="M356" s="64"/>
      <c r="N356" s="51">
        <f t="shared" si="70"/>
        <v>7</v>
      </c>
      <c r="O356" s="19">
        <f t="shared" si="77"/>
        <v>10</v>
      </c>
      <c r="P356" s="20">
        <f t="shared" si="71"/>
        <v>0</v>
      </c>
      <c r="Q356" s="21"/>
      <c r="R356" s="21"/>
      <c r="S356" s="21"/>
      <c r="T356" s="21"/>
      <c r="U356" s="21"/>
      <c r="V356" s="21"/>
      <c r="W356" s="21"/>
      <c r="X356" s="21"/>
      <c r="Y356" s="21"/>
      <c r="Z356" s="21"/>
    </row>
    <row r="357" spans="1:26">
      <c r="A357" s="57">
        <v>350</v>
      </c>
      <c r="B357" s="44" t="str">
        <f t="shared" si="72"/>
        <v>30-й год 2-й мес</v>
      </c>
      <c r="C357" s="45">
        <f t="shared" si="78"/>
        <v>51845</v>
      </c>
      <c r="D357" s="46">
        <f t="shared" si="68"/>
        <v>0</v>
      </c>
      <c r="E357" s="47">
        <f t="shared" si="73"/>
        <v>0</v>
      </c>
      <c r="F357" s="47">
        <f t="shared" si="79"/>
        <v>0</v>
      </c>
      <c r="G357" s="48">
        <f t="shared" si="74"/>
        <v>0</v>
      </c>
      <c r="H357" s="49">
        <f t="shared" si="69"/>
        <v>0</v>
      </c>
      <c r="I357" s="47">
        <f t="shared" si="80"/>
        <v>0</v>
      </c>
      <c r="J357" s="47">
        <f t="shared" si="75"/>
        <v>0</v>
      </c>
      <c r="K357" s="50">
        <f t="shared" si="76"/>
        <v>0</v>
      </c>
      <c r="L357" s="63"/>
      <c r="M357" s="67"/>
      <c r="N357" s="51">
        <f t="shared" si="70"/>
        <v>7</v>
      </c>
      <c r="O357" s="19">
        <f t="shared" si="77"/>
        <v>10</v>
      </c>
      <c r="P357" s="20">
        <f t="shared" si="71"/>
        <v>0</v>
      </c>
      <c r="Q357" s="21"/>
      <c r="R357" s="21"/>
      <c r="S357" s="21"/>
      <c r="T357" s="21"/>
      <c r="U357" s="21"/>
      <c r="V357" s="21"/>
      <c r="W357" s="21"/>
      <c r="X357" s="21"/>
      <c r="Y357" s="21"/>
      <c r="Z357" s="21"/>
    </row>
    <row r="358" spans="1:26">
      <c r="A358" s="57">
        <v>351</v>
      </c>
      <c r="B358" s="44" t="str">
        <f t="shared" si="72"/>
        <v>30-й год 3-й мес</v>
      </c>
      <c r="C358" s="45">
        <f t="shared" si="78"/>
        <v>51876</v>
      </c>
      <c r="D358" s="46">
        <f t="shared" si="68"/>
        <v>0</v>
      </c>
      <c r="E358" s="47">
        <f t="shared" si="73"/>
        <v>0</v>
      </c>
      <c r="F358" s="47">
        <f t="shared" si="79"/>
        <v>0</v>
      </c>
      <c r="G358" s="48">
        <f t="shared" si="74"/>
        <v>0</v>
      </c>
      <c r="H358" s="49">
        <f t="shared" si="69"/>
        <v>0</v>
      </c>
      <c r="I358" s="47">
        <f t="shared" si="80"/>
        <v>0</v>
      </c>
      <c r="J358" s="47">
        <f t="shared" si="75"/>
        <v>0</v>
      </c>
      <c r="K358" s="50">
        <f t="shared" si="76"/>
        <v>0</v>
      </c>
      <c r="L358" s="63"/>
      <c r="M358" s="67"/>
      <c r="N358" s="51">
        <f t="shared" si="70"/>
        <v>7</v>
      </c>
      <c r="O358" s="19">
        <f t="shared" si="77"/>
        <v>10</v>
      </c>
      <c r="P358" s="20">
        <f t="shared" si="71"/>
        <v>0</v>
      </c>
      <c r="Q358" s="21"/>
      <c r="R358" s="21"/>
      <c r="S358" s="21"/>
      <c r="T358" s="21"/>
      <c r="U358" s="21"/>
      <c r="V358" s="21"/>
      <c r="W358" s="21"/>
      <c r="X358" s="21"/>
      <c r="Y358" s="21"/>
      <c r="Z358" s="21"/>
    </row>
    <row r="359" spans="1:26">
      <c r="A359" s="57">
        <v>352</v>
      </c>
      <c r="B359" s="44" t="str">
        <f t="shared" si="72"/>
        <v>30-й год 4-й мес</v>
      </c>
      <c r="C359" s="45">
        <f t="shared" si="78"/>
        <v>51907</v>
      </c>
      <c r="D359" s="46">
        <f t="shared" si="68"/>
        <v>0</v>
      </c>
      <c r="E359" s="47">
        <f t="shared" si="73"/>
        <v>0</v>
      </c>
      <c r="F359" s="47">
        <f t="shared" si="79"/>
        <v>0</v>
      </c>
      <c r="G359" s="48">
        <f t="shared" si="74"/>
        <v>0</v>
      </c>
      <c r="H359" s="49">
        <f t="shared" si="69"/>
        <v>0</v>
      </c>
      <c r="I359" s="47">
        <f t="shared" si="80"/>
        <v>0</v>
      </c>
      <c r="J359" s="47">
        <f t="shared" si="75"/>
        <v>0</v>
      </c>
      <c r="K359" s="50">
        <f t="shared" si="76"/>
        <v>0</v>
      </c>
      <c r="L359" s="63"/>
      <c r="M359" s="67"/>
      <c r="N359" s="51">
        <f t="shared" si="70"/>
        <v>7</v>
      </c>
      <c r="O359" s="19">
        <f t="shared" si="77"/>
        <v>10</v>
      </c>
      <c r="P359" s="20">
        <f t="shared" si="71"/>
        <v>0</v>
      </c>
      <c r="Q359" s="21"/>
      <c r="R359" s="21"/>
      <c r="S359" s="21"/>
      <c r="T359" s="21"/>
      <c r="U359" s="21"/>
      <c r="V359" s="21"/>
      <c r="W359" s="21"/>
      <c r="X359" s="21"/>
      <c r="Y359" s="21"/>
      <c r="Z359" s="21"/>
    </row>
    <row r="360" spans="1:26">
      <c r="A360" s="57">
        <v>353</v>
      </c>
      <c r="B360" s="44" t="str">
        <f t="shared" si="72"/>
        <v>30-й год 5-й мес</v>
      </c>
      <c r="C360" s="45">
        <f t="shared" si="78"/>
        <v>51935</v>
      </c>
      <c r="D360" s="46">
        <f t="shared" si="68"/>
        <v>0</v>
      </c>
      <c r="E360" s="47">
        <f t="shared" si="73"/>
        <v>0</v>
      </c>
      <c r="F360" s="47">
        <f t="shared" si="79"/>
        <v>0</v>
      </c>
      <c r="G360" s="48">
        <f t="shared" si="74"/>
        <v>0</v>
      </c>
      <c r="H360" s="49">
        <f t="shared" si="69"/>
        <v>0</v>
      </c>
      <c r="I360" s="47">
        <f t="shared" si="80"/>
        <v>0</v>
      </c>
      <c r="J360" s="47">
        <f t="shared" si="75"/>
        <v>0</v>
      </c>
      <c r="K360" s="50">
        <f t="shared" si="76"/>
        <v>0</v>
      </c>
      <c r="L360" s="63"/>
      <c r="M360" s="67"/>
      <c r="N360" s="51">
        <f t="shared" si="70"/>
        <v>7</v>
      </c>
      <c r="O360" s="19">
        <f t="shared" si="77"/>
        <v>10</v>
      </c>
      <c r="P360" s="20">
        <f t="shared" si="71"/>
        <v>0</v>
      </c>
      <c r="Q360" s="21"/>
      <c r="R360" s="21"/>
      <c r="S360" s="21"/>
      <c r="T360" s="21"/>
      <c r="U360" s="21"/>
      <c r="V360" s="21"/>
      <c r="W360" s="21"/>
      <c r="X360" s="21"/>
      <c r="Y360" s="21"/>
      <c r="Z360" s="21"/>
    </row>
    <row r="361" spans="1:26">
      <c r="A361" s="57">
        <v>354</v>
      </c>
      <c r="B361" s="44" t="str">
        <f t="shared" si="72"/>
        <v>30-й год 6-й мес</v>
      </c>
      <c r="C361" s="45">
        <f t="shared" si="78"/>
        <v>51966</v>
      </c>
      <c r="D361" s="46">
        <f t="shared" si="68"/>
        <v>0</v>
      </c>
      <c r="E361" s="47">
        <f t="shared" si="73"/>
        <v>0</v>
      </c>
      <c r="F361" s="47">
        <f t="shared" si="79"/>
        <v>0</v>
      </c>
      <c r="G361" s="48">
        <f t="shared" si="74"/>
        <v>0</v>
      </c>
      <c r="H361" s="49">
        <f t="shared" si="69"/>
        <v>0</v>
      </c>
      <c r="I361" s="47">
        <f t="shared" si="80"/>
        <v>0</v>
      </c>
      <c r="J361" s="47">
        <f t="shared" si="75"/>
        <v>0</v>
      </c>
      <c r="K361" s="50">
        <f t="shared" si="76"/>
        <v>0</v>
      </c>
      <c r="L361" s="63"/>
      <c r="M361" s="67"/>
      <c r="N361" s="51">
        <f t="shared" si="70"/>
        <v>7</v>
      </c>
      <c r="O361" s="19">
        <f t="shared" si="77"/>
        <v>10</v>
      </c>
      <c r="P361" s="20">
        <f t="shared" si="71"/>
        <v>0</v>
      </c>
      <c r="Q361" s="21"/>
      <c r="R361" s="21"/>
      <c r="S361" s="21"/>
      <c r="T361" s="21"/>
      <c r="U361" s="21"/>
      <c r="V361" s="21"/>
      <c r="W361" s="21"/>
      <c r="X361" s="21"/>
      <c r="Y361" s="21"/>
      <c r="Z361" s="21"/>
    </row>
    <row r="362" spans="1:26">
      <c r="A362" s="57">
        <v>355</v>
      </c>
      <c r="B362" s="44" t="str">
        <f t="shared" si="72"/>
        <v>30-й год 7-й мес</v>
      </c>
      <c r="C362" s="45">
        <f t="shared" si="78"/>
        <v>51996</v>
      </c>
      <c r="D362" s="46">
        <f t="shared" si="68"/>
        <v>0</v>
      </c>
      <c r="E362" s="47">
        <f t="shared" si="73"/>
        <v>0</v>
      </c>
      <c r="F362" s="47">
        <f t="shared" si="79"/>
        <v>0</v>
      </c>
      <c r="G362" s="48">
        <f t="shared" si="74"/>
        <v>0</v>
      </c>
      <c r="H362" s="49">
        <f t="shared" si="69"/>
        <v>0</v>
      </c>
      <c r="I362" s="47">
        <f t="shared" si="80"/>
        <v>0</v>
      </c>
      <c r="J362" s="47">
        <f t="shared" si="75"/>
        <v>0</v>
      </c>
      <c r="K362" s="50">
        <f t="shared" si="76"/>
        <v>0</v>
      </c>
      <c r="L362" s="63"/>
      <c r="M362" s="67"/>
      <c r="N362" s="51">
        <f t="shared" si="70"/>
        <v>7</v>
      </c>
      <c r="O362" s="19">
        <f t="shared" si="77"/>
        <v>10</v>
      </c>
      <c r="P362" s="20">
        <f t="shared" si="71"/>
        <v>0</v>
      </c>
      <c r="Q362" s="21"/>
      <c r="R362" s="21"/>
      <c r="S362" s="21"/>
      <c r="T362" s="21"/>
      <c r="U362" s="21"/>
      <c r="V362" s="21"/>
      <c r="W362" s="21"/>
      <c r="X362" s="21"/>
      <c r="Y362" s="21"/>
      <c r="Z362" s="21"/>
    </row>
    <row r="363" spans="1:26">
      <c r="A363" s="57">
        <v>356</v>
      </c>
      <c r="B363" s="44" t="str">
        <f t="shared" si="72"/>
        <v>30-й год 8-й мес</v>
      </c>
      <c r="C363" s="45">
        <f t="shared" si="78"/>
        <v>52027</v>
      </c>
      <c r="D363" s="46">
        <f t="shared" si="68"/>
        <v>0</v>
      </c>
      <c r="E363" s="47">
        <f t="shared" si="73"/>
        <v>0</v>
      </c>
      <c r="F363" s="47">
        <f t="shared" si="79"/>
        <v>0</v>
      </c>
      <c r="G363" s="48">
        <f t="shared" si="74"/>
        <v>0</v>
      </c>
      <c r="H363" s="49">
        <f t="shared" si="69"/>
        <v>0</v>
      </c>
      <c r="I363" s="47">
        <f t="shared" si="80"/>
        <v>0</v>
      </c>
      <c r="J363" s="47">
        <f t="shared" si="75"/>
        <v>0</v>
      </c>
      <c r="K363" s="50">
        <f t="shared" si="76"/>
        <v>0</v>
      </c>
      <c r="L363" s="63"/>
      <c r="M363" s="67"/>
      <c r="N363" s="51">
        <f t="shared" si="70"/>
        <v>7</v>
      </c>
      <c r="O363" s="19">
        <f t="shared" si="77"/>
        <v>10</v>
      </c>
      <c r="P363" s="20">
        <f t="shared" si="71"/>
        <v>0</v>
      </c>
      <c r="Q363" s="21"/>
      <c r="R363" s="21"/>
      <c r="S363" s="21"/>
      <c r="T363" s="21"/>
      <c r="U363" s="21"/>
      <c r="V363" s="21"/>
      <c r="W363" s="21"/>
      <c r="X363" s="21"/>
      <c r="Y363" s="21"/>
      <c r="Z363" s="21"/>
    </row>
    <row r="364" spans="1:26">
      <c r="A364" s="57">
        <v>357</v>
      </c>
      <c r="B364" s="44" t="str">
        <f t="shared" si="72"/>
        <v>30-й год 9-й мес</v>
      </c>
      <c r="C364" s="45">
        <f t="shared" si="78"/>
        <v>52057</v>
      </c>
      <c r="D364" s="46">
        <f t="shared" si="68"/>
        <v>0</v>
      </c>
      <c r="E364" s="47">
        <f t="shared" si="73"/>
        <v>0</v>
      </c>
      <c r="F364" s="47">
        <f t="shared" si="79"/>
        <v>0</v>
      </c>
      <c r="G364" s="48">
        <f t="shared" si="74"/>
        <v>0</v>
      </c>
      <c r="H364" s="49">
        <f t="shared" si="69"/>
        <v>0</v>
      </c>
      <c r="I364" s="47">
        <f t="shared" si="80"/>
        <v>0</v>
      </c>
      <c r="J364" s="47">
        <f t="shared" si="75"/>
        <v>0</v>
      </c>
      <c r="K364" s="50">
        <f t="shared" si="76"/>
        <v>0</v>
      </c>
      <c r="L364" s="63"/>
      <c r="M364" s="67"/>
      <c r="N364" s="51">
        <f t="shared" si="70"/>
        <v>7</v>
      </c>
      <c r="O364" s="19">
        <f t="shared" si="77"/>
        <v>10</v>
      </c>
      <c r="P364" s="20">
        <f t="shared" si="71"/>
        <v>0</v>
      </c>
      <c r="Q364" s="21"/>
      <c r="R364" s="21"/>
      <c r="S364" s="21"/>
      <c r="T364" s="21"/>
      <c r="U364" s="21"/>
      <c r="V364" s="21"/>
      <c r="W364" s="21"/>
      <c r="X364" s="21"/>
      <c r="Y364" s="21"/>
      <c r="Z364" s="21"/>
    </row>
    <row r="365" spans="1:26">
      <c r="A365" s="57">
        <v>358</v>
      </c>
      <c r="B365" s="44" t="str">
        <f t="shared" si="72"/>
        <v>30-й год 10-й мес</v>
      </c>
      <c r="C365" s="45">
        <f t="shared" si="78"/>
        <v>52088</v>
      </c>
      <c r="D365" s="46">
        <f t="shared" si="68"/>
        <v>0</v>
      </c>
      <c r="E365" s="47">
        <f t="shared" si="73"/>
        <v>0</v>
      </c>
      <c r="F365" s="47">
        <f t="shared" si="79"/>
        <v>0</v>
      </c>
      <c r="G365" s="48">
        <f t="shared" si="74"/>
        <v>0</v>
      </c>
      <c r="H365" s="49">
        <f t="shared" si="69"/>
        <v>0</v>
      </c>
      <c r="I365" s="47">
        <f t="shared" si="80"/>
        <v>0</v>
      </c>
      <c r="J365" s="47">
        <f t="shared" si="75"/>
        <v>0</v>
      </c>
      <c r="K365" s="50">
        <f t="shared" si="76"/>
        <v>0</v>
      </c>
      <c r="L365" s="63"/>
      <c r="M365" s="67"/>
      <c r="N365" s="51">
        <f t="shared" si="70"/>
        <v>7</v>
      </c>
      <c r="O365" s="19">
        <f t="shared" si="77"/>
        <v>10</v>
      </c>
      <c r="P365" s="20">
        <f t="shared" si="71"/>
        <v>0</v>
      </c>
      <c r="Q365" s="21"/>
      <c r="R365" s="21"/>
      <c r="S365" s="21"/>
      <c r="T365" s="21"/>
      <c r="U365" s="21"/>
      <c r="V365" s="21"/>
      <c r="W365" s="21"/>
      <c r="X365" s="21"/>
      <c r="Y365" s="21"/>
      <c r="Z365" s="21"/>
    </row>
    <row r="366" spans="1:26">
      <c r="A366" s="57">
        <v>359</v>
      </c>
      <c r="B366" s="44" t="str">
        <f t="shared" si="72"/>
        <v>30-й год 11-й мес</v>
      </c>
      <c r="C366" s="45">
        <f t="shared" si="78"/>
        <v>52119</v>
      </c>
      <c r="D366" s="46">
        <f t="shared" si="68"/>
        <v>0</v>
      </c>
      <c r="E366" s="47">
        <f t="shared" si="73"/>
        <v>0</v>
      </c>
      <c r="F366" s="47">
        <f t="shared" si="79"/>
        <v>0</v>
      </c>
      <c r="G366" s="48">
        <f t="shared" si="74"/>
        <v>0</v>
      </c>
      <c r="H366" s="49">
        <f t="shared" si="69"/>
        <v>0</v>
      </c>
      <c r="I366" s="47">
        <f t="shared" si="80"/>
        <v>0</v>
      </c>
      <c r="J366" s="47">
        <f t="shared" si="75"/>
        <v>0</v>
      </c>
      <c r="K366" s="50">
        <f t="shared" si="76"/>
        <v>0</v>
      </c>
      <c r="L366" s="63"/>
      <c r="M366" s="67"/>
      <c r="N366" s="51">
        <f t="shared" si="70"/>
        <v>7</v>
      </c>
      <c r="O366" s="19">
        <f t="shared" si="77"/>
        <v>10</v>
      </c>
      <c r="P366" s="20">
        <f t="shared" si="71"/>
        <v>0</v>
      </c>
      <c r="Q366" s="21"/>
      <c r="R366" s="21"/>
      <c r="S366" s="21"/>
      <c r="T366" s="21"/>
      <c r="U366" s="21"/>
      <c r="V366" s="21"/>
      <c r="W366" s="21"/>
      <c r="X366" s="21"/>
      <c r="Y366" s="21"/>
      <c r="Z366" s="21"/>
    </row>
    <row r="367" spans="1:26">
      <c r="A367" s="58">
        <v>360</v>
      </c>
      <c r="B367" s="44" t="str">
        <f t="shared" si="72"/>
        <v>30-й год 12-й мес</v>
      </c>
      <c r="C367" s="45">
        <f t="shared" si="78"/>
        <v>52149</v>
      </c>
      <c r="D367" s="46">
        <f t="shared" si="68"/>
        <v>0</v>
      </c>
      <c r="E367" s="59">
        <f t="shared" si="73"/>
        <v>0</v>
      </c>
      <c r="F367" s="47">
        <f t="shared" si="79"/>
        <v>0</v>
      </c>
      <c r="G367" s="60">
        <f t="shared" si="74"/>
        <v>0</v>
      </c>
      <c r="H367" s="61">
        <f t="shared" si="69"/>
        <v>0</v>
      </c>
      <c r="I367" s="59">
        <f t="shared" si="80"/>
        <v>0</v>
      </c>
      <c r="J367" s="59">
        <f t="shared" si="75"/>
        <v>0</v>
      </c>
      <c r="K367" s="62">
        <f t="shared" si="76"/>
        <v>0</v>
      </c>
      <c r="L367" s="66"/>
      <c r="M367" s="68"/>
      <c r="N367" s="51">
        <f t="shared" si="70"/>
        <v>7</v>
      </c>
      <c r="O367" s="19">
        <f t="shared" si="77"/>
        <v>10</v>
      </c>
      <c r="P367" s="20">
        <f t="shared" si="71"/>
        <v>0</v>
      </c>
      <c r="Q367" s="21"/>
      <c r="R367" s="21"/>
      <c r="S367" s="21"/>
      <c r="T367" s="21"/>
      <c r="U367" s="21"/>
      <c r="V367" s="21"/>
      <c r="W367" s="21"/>
      <c r="X367" s="21"/>
      <c r="Y367" s="21"/>
      <c r="Z367" s="21"/>
    </row>
    <row r="368" spans="1:26">
      <c r="A368" s="43">
        <v>361</v>
      </c>
      <c r="B368" s="44" t="str">
        <f t="shared" si="72"/>
        <v>31-й год 1-й мес</v>
      </c>
      <c r="C368" s="45">
        <f t="shared" si="78"/>
        <v>52180</v>
      </c>
      <c r="D368" s="46">
        <f t="shared" si="68"/>
        <v>0</v>
      </c>
      <c r="E368" s="47">
        <f t="shared" si="73"/>
        <v>0</v>
      </c>
      <c r="F368" s="47">
        <f t="shared" si="79"/>
        <v>0</v>
      </c>
      <c r="G368" s="48">
        <f t="shared" si="74"/>
        <v>0</v>
      </c>
      <c r="H368" s="49">
        <f t="shared" si="69"/>
        <v>0</v>
      </c>
      <c r="I368" s="47">
        <f t="shared" si="80"/>
        <v>0</v>
      </c>
      <c r="J368" s="47">
        <f t="shared" si="75"/>
        <v>0</v>
      </c>
      <c r="K368" s="50">
        <f t="shared" si="76"/>
        <v>0</v>
      </c>
      <c r="L368" s="63"/>
      <c r="M368" s="67"/>
      <c r="N368" s="51">
        <f t="shared" si="70"/>
        <v>7</v>
      </c>
      <c r="O368" s="19">
        <f t="shared" si="77"/>
        <v>10</v>
      </c>
      <c r="P368" s="20">
        <f t="shared" si="71"/>
        <v>0</v>
      </c>
      <c r="Q368" s="21"/>
      <c r="R368" s="21"/>
      <c r="S368" s="21"/>
      <c r="T368" s="21"/>
      <c r="U368" s="21"/>
      <c r="V368" s="21"/>
      <c r="W368" s="21"/>
      <c r="X368" s="21"/>
      <c r="Y368" s="21"/>
      <c r="Z368" s="21"/>
    </row>
    <row r="369" spans="1:26">
      <c r="A369" s="43">
        <v>362</v>
      </c>
      <c r="B369" s="44" t="str">
        <f t="shared" si="72"/>
        <v>31-й год 2-й мес</v>
      </c>
      <c r="C369" s="45">
        <f t="shared" si="78"/>
        <v>52210</v>
      </c>
      <c r="D369" s="46">
        <f t="shared" si="68"/>
        <v>0</v>
      </c>
      <c r="E369" s="47">
        <f t="shared" si="73"/>
        <v>0</v>
      </c>
      <c r="F369" s="47">
        <f t="shared" si="79"/>
        <v>0</v>
      </c>
      <c r="G369" s="48">
        <f t="shared" si="74"/>
        <v>0</v>
      </c>
      <c r="H369" s="49">
        <f t="shared" si="69"/>
        <v>0</v>
      </c>
      <c r="I369" s="47">
        <f t="shared" si="80"/>
        <v>0</v>
      </c>
      <c r="J369" s="47">
        <f t="shared" si="75"/>
        <v>0</v>
      </c>
      <c r="K369" s="50">
        <f t="shared" si="76"/>
        <v>0</v>
      </c>
      <c r="L369" s="63"/>
      <c r="M369" s="67"/>
      <c r="N369" s="51">
        <f t="shared" si="70"/>
        <v>7</v>
      </c>
      <c r="O369" s="19">
        <f t="shared" si="77"/>
        <v>10</v>
      </c>
      <c r="P369" s="20">
        <f t="shared" si="71"/>
        <v>0</v>
      </c>
      <c r="Q369" s="21"/>
      <c r="R369" s="21"/>
      <c r="S369" s="21"/>
      <c r="T369" s="21"/>
      <c r="U369" s="21"/>
      <c r="V369" s="21"/>
      <c r="W369" s="21"/>
      <c r="X369" s="21"/>
      <c r="Y369" s="21"/>
      <c r="Z369" s="21"/>
    </row>
    <row r="370" spans="1:26">
      <c r="A370" s="43">
        <v>363</v>
      </c>
      <c r="B370" s="44" t="str">
        <f t="shared" si="72"/>
        <v>31-й год 3-й мес</v>
      </c>
      <c r="C370" s="45">
        <f t="shared" si="78"/>
        <v>52241</v>
      </c>
      <c r="D370" s="46">
        <f t="shared" si="68"/>
        <v>0</v>
      </c>
      <c r="E370" s="47">
        <f t="shared" si="73"/>
        <v>0</v>
      </c>
      <c r="F370" s="47">
        <f t="shared" si="79"/>
        <v>0</v>
      </c>
      <c r="G370" s="48">
        <f t="shared" si="74"/>
        <v>0</v>
      </c>
      <c r="H370" s="49">
        <f t="shared" si="69"/>
        <v>0</v>
      </c>
      <c r="I370" s="47">
        <f t="shared" si="80"/>
        <v>0</v>
      </c>
      <c r="J370" s="47">
        <f t="shared" si="75"/>
        <v>0</v>
      </c>
      <c r="K370" s="50">
        <f t="shared" si="76"/>
        <v>0</v>
      </c>
      <c r="L370" s="63"/>
      <c r="M370" s="67"/>
      <c r="N370" s="51">
        <f t="shared" si="70"/>
        <v>7</v>
      </c>
      <c r="O370" s="19">
        <f t="shared" si="77"/>
        <v>10</v>
      </c>
      <c r="P370" s="20">
        <f t="shared" si="71"/>
        <v>0</v>
      </c>
      <c r="Q370" s="21"/>
      <c r="R370" s="21"/>
      <c r="S370" s="21"/>
      <c r="T370" s="21"/>
      <c r="U370" s="21"/>
      <c r="V370" s="21"/>
      <c r="W370" s="21"/>
      <c r="X370" s="21"/>
      <c r="Y370" s="21"/>
      <c r="Z370" s="21"/>
    </row>
    <row r="371" spans="1:26">
      <c r="A371" s="43">
        <v>364</v>
      </c>
      <c r="B371" s="44" t="str">
        <f t="shared" si="72"/>
        <v>31-й год 4-й мес</v>
      </c>
      <c r="C371" s="45">
        <f t="shared" si="78"/>
        <v>52272</v>
      </c>
      <c r="D371" s="46">
        <f t="shared" si="68"/>
        <v>0</v>
      </c>
      <c r="E371" s="47">
        <f t="shared" si="73"/>
        <v>0</v>
      </c>
      <c r="F371" s="47">
        <f t="shared" si="79"/>
        <v>0</v>
      </c>
      <c r="G371" s="48">
        <f t="shared" si="74"/>
        <v>0</v>
      </c>
      <c r="H371" s="49">
        <f t="shared" si="69"/>
        <v>0</v>
      </c>
      <c r="I371" s="47">
        <f t="shared" si="80"/>
        <v>0</v>
      </c>
      <c r="J371" s="47">
        <f t="shared" si="75"/>
        <v>0</v>
      </c>
      <c r="K371" s="50">
        <f t="shared" si="76"/>
        <v>0</v>
      </c>
      <c r="L371" s="63"/>
      <c r="M371" s="67"/>
      <c r="N371" s="51">
        <f t="shared" si="70"/>
        <v>7</v>
      </c>
      <c r="O371" s="19">
        <f t="shared" si="77"/>
        <v>10</v>
      </c>
      <c r="P371" s="20">
        <f t="shared" si="71"/>
        <v>0</v>
      </c>
      <c r="Q371" s="21"/>
      <c r="R371" s="21"/>
      <c r="S371" s="21"/>
      <c r="T371" s="21"/>
      <c r="U371" s="21"/>
      <c r="V371" s="21"/>
      <c r="W371" s="21"/>
      <c r="X371" s="21"/>
      <c r="Y371" s="21"/>
      <c r="Z371" s="21"/>
    </row>
    <row r="372" spans="1:26">
      <c r="A372" s="43">
        <v>365</v>
      </c>
      <c r="B372" s="44" t="str">
        <f t="shared" si="72"/>
        <v>31-й год 5-й мес</v>
      </c>
      <c r="C372" s="45">
        <f t="shared" si="78"/>
        <v>52300</v>
      </c>
      <c r="D372" s="46">
        <f t="shared" si="68"/>
        <v>0</v>
      </c>
      <c r="E372" s="47">
        <f t="shared" si="73"/>
        <v>0</v>
      </c>
      <c r="F372" s="47">
        <f t="shared" si="79"/>
        <v>0</v>
      </c>
      <c r="G372" s="48">
        <f t="shared" si="74"/>
        <v>0</v>
      </c>
      <c r="H372" s="49">
        <f t="shared" si="69"/>
        <v>0</v>
      </c>
      <c r="I372" s="47">
        <f t="shared" si="80"/>
        <v>0</v>
      </c>
      <c r="J372" s="47">
        <f t="shared" si="75"/>
        <v>0</v>
      </c>
      <c r="K372" s="50">
        <f t="shared" si="76"/>
        <v>0</v>
      </c>
      <c r="L372" s="63"/>
      <c r="M372" s="67"/>
      <c r="N372" s="51">
        <f t="shared" si="70"/>
        <v>7</v>
      </c>
      <c r="O372" s="19">
        <f t="shared" si="77"/>
        <v>10</v>
      </c>
      <c r="P372" s="20">
        <f t="shared" si="71"/>
        <v>0</v>
      </c>
      <c r="Q372" s="21"/>
      <c r="R372" s="21"/>
      <c r="S372" s="21"/>
      <c r="T372" s="21"/>
      <c r="U372" s="21"/>
      <c r="V372" s="21"/>
      <c r="W372" s="21"/>
      <c r="X372" s="21"/>
      <c r="Y372" s="21"/>
      <c r="Z372" s="21"/>
    </row>
    <row r="373" spans="1:26">
      <c r="A373" s="43">
        <v>366</v>
      </c>
      <c r="B373" s="44" t="str">
        <f t="shared" si="72"/>
        <v>31-й год 6-й мес</v>
      </c>
      <c r="C373" s="45">
        <f t="shared" si="78"/>
        <v>52331</v>
      </c>
      <c r="D373" s="46">
        <f t="shared" si="68"/>
        <v>0</v>
      </c>
      <c r="E373" s="47">
        <f t="shared" si="73"/>
        <v>0</v>
      </c>
      <c r="F373" s="47">
        <f t="shared" si="79"/>
        <v>0</v>
      </c>
      <c r="G373" s="48">
        <f t="shared" si="74"/>
        <v>0</v>
      </c>
      <c r="H373" s="49">
        <f t="shared" si="69"/>
        <v>0</v>
      </c>
      <c r="I373" s="47">
        <f t="shared" si="80"/>
        <v>0</v>
      </c>
      <c r="J373" s="47">
        <f t="shared" si="75"/>
        <v>0</v>
      </c>
      <c r="K373" s="50">
        <f t="shared" si="76"/>
        <v>0</v>
      </c>
      <c r="L373" s="63"/>
      <c r="M373" s="67"/>
      <c r="N373" s="51">
        <f t="shared" si="70"/>
        <v>7</v>
      </c>
      <c r="O373" s="19">
        <f t="shared" si="77"/>
        <v>10</v>
      </c>
      <c r="P373" s="20">
        <f t="shared" si="71"/>
        <v>0</v>
      </c>
      <c r="Q373" s="21"/>
      <c r="R373" s="21"/>
      <c r="S373" s="21"/>
      <c r="T373" s="21"/>
      <c r="U373" s="21"/>
      <c r="V373" s="21"/>
      <c r="W373" s="21"/>
      <c r="X373" s="21"/>
      <c r="Y373" s="21"/>
      <c r="Z373" s="21"/>
    </row>
    <row r="374" spans="1:26">
      <c r="A374" s="43">
        <v>367</v>
      </c>
      <c r="B374" s="44" t="str">
        <f t="shared" si="72"/>
        <v>31-й год 7-й мес</v>
      </c>
      <c r="C374" s="45">
        <f t="shared" si="78"/>
        <v>52361</v>
      </c>
      <c r="D374" s="46">
        <f t="shared" si="68"/>
        <v>0</v>
      </c>
      <c r="E374" s="47">
        <f t="shared" si="73"/>
        <v>0</v>
      </c>
      <c r="F374" s="47">
        <f t="shared" si="79"/>
        <v>0</v>
      </c>
      <c r="G374" s="48">
        <f t="shared" si="74"/>
        <v>0</v>
      </c>
      <c r="H374" s="49">
        <f t="shared" si="69"/>
        <v>0</v>
      </c>
      <c r="I374" s="47">
        <f t="shared" si="80"/>
        <v>0</v>
      </c>
      <c r="J374" s="47">
        <f t="shared" si="75"/>
        <v>0</v>
      </c>
      <c r="K374" s="50">
        <f t="shared" si="76"/>
        <v>0</v>
      </c>
      <c r="L374" s="63"/>
      <c r="M374" s="67"/>
      <c r="N374" s="51">
        <f t="shared" si="70"/>
        <v>7</v>
      </c>
      <c r="O374" s="19">
        <f t="shared" si="77"/>
        <v>10</v>
      </c>
      <c r="P374" s="20">
        <f t="shared" si="71"/>
        <v>0</v>
      </c>
      <c r="Q374" s="21"/>
      <c r="R374" s="21"/>
      <c r="S374" s="21"/>
      <c r="T374" s="21"/>
      <c r="U374" s="21"/>
      <c r="V374" s="21"/>
      <c r="W374" s="21"/>
      <c r="X374" s="21"/>
      <c r="Y374" s="21"/>
      <c r="Z374" s="21"/>
    </row>
    <row r="375" spans="1:26">
      <c r="A375" s="43">
        <v>368</v>
      </c>
      <c r="B375" s="44" t="str">
        <f t="shared" si="72"/>
        <v>31-й год 8-й мес</v>
      </c>
      <c r="C375" s="45">
        <f t="shared" si="78"/>
        <v>52392</v>
      </c>
      <c r="D375" s="46">
        <f t="shared" si="68"/>
        <v>0</v>
      </c>
      <c r="E375" s="47">
        <f t="shared" si="73"/>
        <v>0</v>
      </c>
      <c r="F375" s="47">
        <f t="shared" si="79"/>
        <v>0</v>
      </c>
      <c r="G375" s="48">
        <f t="shared" si="74"/>
        <v>0</v>
      </c>
      <c r="H375" s="49">
        <f t="shared" si="69"/>
        <v>0</v>
      </c>
      <c r="I375" s="47">
        <f t="shared" si="80"/>
        <v>0</v>
      </c>
      <c r="J375" s="47">
        <f t="shared" si="75"/>
        <v>0</v>
      </c>
      <c r="K375" s="50">
        <f t="shared" si="76"/>
        <v>0</v>
      </c>
      <c r="L375" s="63"/>
      <c r="M375" s="67"/>
      <c r="N375" s="51">
        <f t="shared" si="70"/>
        <v>7</v>
      </c>
      <c r="O375" s="19">
        <f t="shared" si="77"/>
        <v>10</v>
      </c>
      <c r="P375" s="20">
        <f t="shared" si="71"/>
        <v>0</v>
      </c>
      <c r="Q375" s="21"/>
      <c r="R375" s="21"/>
      <c r="S375" s="21"/>
      <c r="T375" s="21"/>
      <c r="U375" s="21"/>
      <c r="V375" s="21"/>
      <c r="W375" s="21"/>
      <c r="X375" s="21"/>
      <c r="Y375" s="21"/>
      <c r="Z375" s="21"/>
    </row>
    <row r="376" spans="1:26">
      <c r="A376" s="43">
        <v>369</v>
      </c>
      <c r="B376" s="44" t="str">
        <f t="shared" si="72"/>
        <v>31-й год 9-й мес</v>
      </c>
      <c r="C376" s="45">
        <f t="shared" si="78"/>
        <v>52422</v>
      </c>
      <c r="D376" s="46">
        <f t="shared" si="68"/>
        <v>0</v>
      </c>
      <c r="E376" s="47">
        <f t="shared" si="73"/>
        <v>0</v>
      </c>
      <c r="F376" s="47">
        <f t="shared" si="79"/>
        <v>0</v>
      </c>
      <c r="G376" s="48">
        <f t="shared" si="74"/>
        <v>0</v>
      </c>
      <c r="H376" s="49">
        <f t="shared" si="69"/>
        <v>0</v>
      </c>
      <c r="I376" s="47">
        <f t="shared" si="80"/>
        <v>0</v>
      </c>
      <c r="J376" s="47">
        <f t="shared" si="75"/>
        <v>0</v>
      </c>
      <c r="K376" s="50">
        <f t="shared" si="76"/>
        <v>0</v>
      </c>
      <c r="L376" s="63"/>
      <c r="M376" s="67"/>
      <c r="N376" s="51">
        <f t="shared" si="70"/>
        <v>7</v>
      </c>
      <c r="O376" s="19">
        <f t="shared" si="77"/>
        <v>10</v>
      </c>
      <c r="P376" s="20">
        <f t="shared" si="71"/>
        <v>0</v>
      </c>
      <c r="Q376" s="21"/>
      <c r="R376" s="21"/>
      <c r="S376" s="21"/>
      <c r="T376" s="21"/>
      <c r="U376" s="21"/>
      <c r="V376" s="21"/>
      <c r="W376" s="21"/>
      <c r="X376" s="21"/>
      <c r="Y376" s="21"/>
      <c r="Z376" s="21"/>
    </row>
    <row r="377" spans="1:26">
      <c r="A377" s="43">
        <v>370</v>
      </c>
      <c r="B377" s="44" t="str">
        <f t="shared" si="72"/>
        <v>31-й год 10-й мес</v>
      </c>
      <c r="C377" s="45">
        <f t="shared" si="78"/>
        <v>52453</v>
      </c>
      <c r="D377" s="46">
        <f t="shared" si="68"/>
        <v>0</v>
      </c>
      <c r="E377" s="47">
        <f t="shared" si="73"/>
        <v>0</v>
      </c>
      <c r="F377" s="47">
        <f t="shared" si="79"/>
        <v>0</v>
      </c>
      <c r="G377" s="48">
        <f t="shared" si="74"/>
        <v>0</v>
      </c>
      <c r="H377" s="49">
        <f t="shared" si="69"/>
        <v>0</v>
      </c>
      <c r="I377" s="47">
        <f t="shared" si="80"/>
        <v>0</v>
      </c>
      <c r="J377" s="47">
        <f t="shared" si="75"/>
        <v>0</v>
      </c>
      <c r="K377" s="50">
        <f t="shared" si="76"/>
        <v>0</v>
      </c>
      <c r="L377" s="63"/>
      <c r="M377" s="67"/>
      <c r="N377" s="51">
        <f t="shared" si="70"/>
        <v>7</v>
      </c>
      <c r="O377" s="19">
        <f t="shared" si="77"/>
        <v>10</v>
      </c>
      <c r="P377" s="20">
        <f t="shared" si="71"/>
        <v>0</v>
      </c>
      <c r="Q377" s="21"/>
      <c r="R377" s="21"/>
      <c r="S377" s="21"/>
      <c r="T377" s="21"/>
      <c r="U377" s="21"/>
      <c r="V377" s="21"/>
      <c r="W377" s="21"/>
      <c r="X377" s="21"/>
      <c r="Y377" s="21"/>
      <c r="Z377" s="21"/>
    </row>
    <row r="378" spans="1:26">
      <c r="A378" s="43">
        <v>371</v>
      </c>
      <c r="B378" s="44" t="str">
        <f t="shared" si="72"/>
        <v>31-й год 11-й мес</v>
      </c>
      <c r="C378" s="45">
        <f t="shared" si="78"/>
        <v>52484</v>
      </c>
      <c r="D378" s="46">
        <f t="shared" si="68"/>
        <v>0</v>
      </c>
      <c r="E378" s="47">
        <f t="shared" si="73"/>
        <v>0</v>
      </c>
      <c r="F378" s="47">
        <f t="shared" si="79"/>
        <v>0</v>
      </c>
      <c r="G378" s="48">
        <f t="shared" si="74"/>
        <v>0</v>
      </c>
      <c r="H378" s="49">
        <f t="shared" si="69"/>
        <v>0</v>
      </c>
      <c r="I378" s="47">
        <f t="shared" si="80"/>
        <v>0</v>
      </c>
      <c r="J378" s="47">
        <f t="shared" si="75"/>
        <v>0</v>
      </c>
      <c r="K378" s="50">
        <f t="shared" si="76"/>
        <v>0</v>
      </c>
      <c r="L378" s="63"/>
      <c r="M378" s="67"/>
      <c r="N378" s="51">
        <f t="shared" si="70"/>
        <v>7</v>
      </c>
      <c r="O378" s="19">
        <f t="shared" si="77"/>
        <v>10</v>
      </c>
      <c r="P378" s="20">
        <f t="shared" si="71"/>
        <v>0</v>
      </c>
      <c r="Q378" s="21"/>
      <c r="R378" s="21"/>
      <c r="S378" s="21"/>
      <c r="T378" s="21"/>
      <c r="U378" s="21"/>
      <c r="V378" s="21"/>
      <c r="W378" s="21"/>
      <c r="X378" s="21"/>
      <c r="Y378" s="21"/>
      <c r="Z378" s="21"/>
    </row>
    <row r="379" spans="1:26">
      <c r="A379" s="43">
        <v>372</v>
      </c>
      <c r="B379" s="44" t="str">
        <f t="shared" si="72"/>
        <v>31-й год 12-й мес</v>
      </c>
      <c r="C379" s="45">
        <f t="shared" si="78"/>
        <v>52514</v>
      </c>
      <c r="D379" s="46">
        <f t="shared" si="68"/>
        <v>0</v>
      </c>
      <c r="E379" s="47">
        <f t="shared" si="73"/>
        <v>0</v>
      </c>
      <c r="F379" s="47">
        <f t="shared" si="79"/>
        <v>0</v>
      </c>
      <c r="G379" s="48">
        <f t="shared" si="74"/>
        <v>0</v>
      </c>
      <c r="H379" s="49">
        <f t="shared" si="69"/>
        <v>0</v>
      </c>
      <c r="I379" s="47">
        <f t="shared" si="80"/>
        <v>0</v>
      </c>
      <c r="J379" s="47">
        <f t="shared" si="75"/>
        <v>0</v>
      </c>
      <c r="K379" s="50">
        <f t="shared" si="76"/>
        <v>0</v>
      </c>
      <c r="L379" s="63"/>
      <c r="M379" s="67"/>
      <c r="N379" s="51">
        <f t="shared" si="70"/>
        <v>7</v>
      </c>
      <c r="O379" s="19">
        <f t="shared" si="77"/>
        <v>10</v>
      </c>
      <c r="P379" s="20">
        <f t="shared" si="71"/>
        <v>0</v>
      </c>
      <c r="Q379" s="21"/>
      <c r="R379" s="21"/>
      <c r="S379" s="21"/>
      <c r="T379" s="21"/>
      <c r="U379" s="21"/>
      <c r="V379" s="21"/>
      <c r="W379" s="21"/>
      <c r="X379" s="21"/>
      <c r="Y379" s="21"/>
      <c r="Z379" s="21"/>
    </row>
    <row r="380" spans="1:26">
      <c r="A380" s="52">
        <v>373</v>
      </c>
      <c r="B380" s="44" t="str">
        <f t="shared" si="72"/>
        <v>32-й год 1-й мес</v>
      </c>
      <c r="C380" s="45">
        <f t="shared" si="78"/>
        <v>52545</v>
      </c>
      <c r="D380" s="46">
        <f t="shared" si="68"/>
        <v>0</v>
      </c>
      <c r="E380" s="53">
        <f t="shared" si="73"/>
        <v>0</v>
      </c>
      <c r="F380" s="47">
        <f t="shared" si="79"/>
        <v>0</v>
      </c>
      <c r="G380" s="54">
        <f t="shared" si="74"/>
        <v>0</v>
      </c>
      <c r="H380" s="55">
        <f t="shared" si="69"/>
        <v>0</v>
      </c>
      <c r="I380" s="53">
        <f t="shared" si="80"/>
        <v>0</v>
      </c>
      <c r="J380" s="53">
        <f t="shared" si="75"/>
        <v>0</v>
      </c>
      <c r="K380" s="56">
        <f t="shared" si="76"/>
        <v>0</v>
      </c>
      <c r="L380" s="65"/>
      <c r="M380" s="64"/>
      <c r="N380" s="51">
        <f t="shared" si="70"/>
        <v>7</v>
      </c>
      <c r="O380" s="19">
        <f t="shared" si="77"/>
        <v>10</v>
      </c>
      <c r="P380" s="20">
        <f t="shared" si="71"/>
        <v>0</v>
      </c>
      <c r="Q380" s="21"/>
      <c r="R380" s="21"/>
      <c r="S380" s="21"/>
      <c r="T380" s="21"/>
      <c r="U380" s="21"/>
      <c r="V380" s="21"/>
      <c r="W380" s="21"/>
      <c r="X380" s="21"/>
      <c r="Y380" s="21"/>
      <c r="Z380" s="21"/>
    </row>
    <row r="381" spans="1:26">
      <c r="A381" s="57">
        <v>374</v>
      </c>
      <c r="B381" s="44" t="str">
        <f t="shared" si="72"/>
        <v>32-й год 2-й мес</v>
      </c>
      <c r="C381" s="45">
        <f t="shared" si="78"/>
        <v>52575</v>
      </c>
      <c r="D381" s="46">
        <f t="shared" si="68"/>
        <v>0</v>
      </c>
      <c r="E381" s="47">
        <f t="shared" si="73"/>
        <v>0</v>
      </c>
      <c r="F381" s="47">
        <f t="shared" si="79"/>
        <v>0</v>
      </c>
      <c r="G381" s="48">
        <f t="shared" si="74"/>
        <v>0</v>
      </c>
      <c r="H381" s="49">
        <f t="shared" si="69"/>
        <v>0</v>
      </c>
      <c r="I381" s="47">
        <f t="shared" si="80"/>
        <v>0</v>
      </c>
      <c r="J381" s="47">
        <f t="shared" si="75"/>
        <v>0</v>
      </c>
      <c r="K381" s="50">
        <f t="shared" si="76"/>
        <v>0</v>
      </c>
      <c r="L381" s="63"/>
      <c r="M381" s="67"/>
      <c r="N381" s="51">
        <f t="shared" si="70"/>
        <v>7</v>
      </c>
      <c r="O381" s="19">
        <f t="shared" si="77"/>
        <v>10</v>
      </c>
      <c r="P381" s="20">
        <f t="shared" si="71"/>
        <v>0</v>
      </c>
      <c r="Q381" s="21"/>
      <c r="R381" s="21"/>
      <c r="S381" s="21"/>
      <c r="T381" s="21"/>
      <c r="U381" s="21"/>
      <c r="V381" s="21"/>
      <c r="W381" s="21"/>
      <c r="X381" s="21"/>
      <c r="Y381" s="21"/>
      <c r="Z381" s="21"/>
    </row>
    <row r="382" spans="1:26">
      <c r="A382" s="57">
        <v>375</v>
      </c>
      <c r="B382" s="44" t="str">
        <f t="shared" si="72"/>
        <v>32-й год 3-й мес</v>
      </c>
      <c r="C382" s="45">
        <f t="shared" si="78"/>
        <v>52606</v>
      </c>
      <c r="D382" s="46">
        <f t="shared" si="68"/>
        <v>0</v>
      </c>
      <c r="E382" s="47">
        <f t="shared" si="73"/>
        <v>0</v>
      </c>
      <c r="F382" s="47">
        <f t="shared" si="79"/>
        <v>0</v>
      </c>
      <c r="G382" s="48">
        <f t="shared" si="74"/>
        <v>0</v>
      </c>
      <c r="H382" s="49">
        <f t="shared" si="69"/>
        <v>0</v>
      </c>
      <c r="I382" s="47">
        <f t="shared" si="80"/>
        <v>0</v>
      </c>
      <c r="J382" s="47">
        <f t="shared" si="75"/>
        <v>0</v>
      </c>
      <c r="K382" s="50">
        <f t="shared" si="76"/>
        <v>0</v>
      </c>
      <c r="L382" s="63"/>
      <c r="M382" s="67"/>
      <c r="N382" s="51">
        <f t="shared" si="70"/>
        <v>7</v>
      </c>
      <c r="O382" s="19">
        <f t="shared" si="77"/>
        <v>10</v>
      </c>
      <c r="P382" s="20">
        <f t="shared" si="71"/>
        <v>0</v>
      </c>
      <c r="Q382" s="21"/>
      <c r="R382" s="21"/>
      <c r="S382" s="21"/>
      <c r="T382" s="21"/>
      <c r="U382" s="21"/>
      <c r="V382" s="21"/>
      <c r="W382" s="21"/>
      <c r="X382" s="21"/>
      <c r="Y382" s="21"/>
      <c r="Z382" s="21"/>
    </row>
    <row r="383" spans="1:26">
      <c r="A383" s="57">
        <v>376</v>
      </c>
      <c r="B383" s="44" t="str">
        <f t="shared" si="72"/>
        <v>32-й год 4-й мес</v>
      </c>
      <c r="C383" s="45">
        <f t="shared" si="78"/>
        <v>52637</v>
      </c>
      <c r="D383" s="46">
        <f t="shared" si="68"/>
        <v>0</v>
      </c>
      <c r="E383" s="47">
        <f t="shared" si="73"/>
        <v>0</v>
      </c>
      <c r="F383" s="47">
        <f t="shared" si="79"/>
        <v>0</v>
      </c>
      <c r="G383" s="48">
        <f t="shared" si="74"/>
        <v>0</v>
      </c>
      <c r="H383" s="49">
        <f t="shared" si="69"/>
        <v>0</v>
      </c>
      <c r="I383" s="47">
        <f t="shared" si="80"/>
        <v>0</v>
      </c>
      <c r="J383" s="47">
        <f t="shared" si="75"/>
        <v>0</v>
      </c>
      <c r="K383" s="50">
        <f t="shared" si="76"/>
        <v>0</v>
      </c>
      <c r="L383" s="63"/>
      <c r="M383" s="67"/>
      <c r="N383" s="51">
        <f t="shared" si="70"/>
        <v>7</v>
      </c>
      <c r="O383" s="19">
        <f t="shared" si="77"/>
        <v>10</v>
      </c>
      <c r="P383" s="20">
        <f t="shared" si="71"/>
        <v>0</v>
      </c>
      <c r="Q383" s="21"/>
      <c r="R383" s="21"/>
      <c r="S383" s="21"/>
      <c r="T383" s="21"/>
      <c r="U383" s="21"/>
      <c r="V383" s="21"/>
      <c r="W383" s="21"/>
      <c r="X383" s="21"/>
      <c r="Y383" s="21"/>
      <c r="Z383" s="21"/>
    </row>
    <row r="384" spans="1:26">
      <c r="A384" s="57">
        <v>377</v>
      </c>
      <c r="B384" s="44" t="str">
        <f t="shared" si="72"/>
        <v>32-й год 5-й мес</v>
      </c>
      <c r="C384" s="45">
        <f t="shared" si="78"/>
        <v>52666</v>
      </c>
      <c r="D384" s="46">
        <f t="shared" si="68"/>
        <v>0</v>
      </c>
      <c r="E384" s="47">
        <f t="shared" si="73"/>
        <v>0</v>
      </c>
      <c r="F384" s="47">
        <f t="shared" si="79"/>
        <v>0</v>
      </c>
      <c r="G384" s="48">
        <f t="shared" si="74"/>
        <v>0</v>
      </c>
      <c r="H384" s="49">
        <f t="shared" si="69"/>
        <v>0</v>
      </c>
      <c r="I384" s="47">
        <f t="shared" si="80"/>
        <v>0</v>
      </c>
      <c r="J384" s="47">
        <f t="shared" si="75"/>
        <v>0</v>
      </c>
      <c r="K384" s="50">
        <f t="shared" si="76"/>
        <v>0</v>
      </c>
      <c r="L384" s="63"/>
      <c r="M384" s="67"/>
      <c r="N384" s="51">
        <f t="shared" si="70"/>
        <v>7</v>
      </c>
      <c r="O384" s="19">
        <f t="shared" si="77"/>
        <v>10</v>
      </c>
      <c r="P384" s="20">
        <f t="shared" si="71"/>
        <v>0</v>
      </c>
      <c r="Q384" s="21"/>
      <c r="R384" s="21"/>
      <c r="S384" s="21"/>
      <c r="T384" s="21"/>
      <c r="U384" s="21"/>
      <c r="V384" s="21"/>
      <c r="W384" s="21"/>
      <c r="X384" s="21"/>
      <c r="Y384" s="21"/>
      <c r="Z384" s="21"/>
    </row>
    <row r="385" spans="1:26">
      <c r="A385" s="57">
        <v>378</v>
      </c>
      <c r="B385" s="44" t="str">
        <f t="shared" si="72"/>
        <v>32-й год 6-й мес</v>
      </c>
      <c r="C385" s="45">
        <f t="shared" si="78"/>
        <v>52697</v>
      </c>
      <c r="D385" s="46">
        <f t="shared" si="68"/>
        <v>0</v>
      </c>
      <c r="E385" s="47">
        <f t="shared" si="73"/>
        <v>0</v>
      </c>
      <c r="F385" s="47">
        <f t="shared" si="79"/>
        <v>0</v>
      </c>
      <c r="G385" s="48">
        <f t="shared" si="74"/>
        <v>0</v>
      </c>
      <c r="H385" s="49">
        <f t="shared" si="69"/>
        <v>0</v>
      </c>
      <c r="I385" s="47">
        <f t="shared" si="80"/>
        <v>0</v>
      </c>
      <c r="J385" s="47">
        <f t="shared" si="75"/>
        <v>0</v>
      </c>
      <c r="K385" s="50">
        <f t="shared" si="76"/>
        <v>0</v>
      </c>
      <c r="L385" s="63"/>
      <c r="M385" s="67"/>
      <c r="N385" s="51">
        <f t="shared" si="70"/>
        <v>7</v>
      </c>
      <c r="O385" s="19">
        <f t="shared" si="77"/>
        <v>10</v>
      </c>
      <c r="P385" s="20">
        <f t="shared" si="71"/>
        <v>0</v>
      </c>
      <c r="Q385" s="21"/>
      <c r="R385" s="21"/>
      <c r="S385" s="21"/>
      <c r="T385" s="21"/>
      <c r="U385" s="21"/>
      <c r="V385" s="21"/>
      <c r="W385" s="21"/>
      <c r="X385" s="21"/>
      <c r="Y385" s="21"/>
      <c r="Z385" s="21"/>
    </row>
    <row r="386" spans="1:26">
      <c r="A386" s="57">
        <v>379</v>
      </c>
      <c r="B386" s="44" t="str">
        <f t="shared" si="72"/>
        <v>32-й год 7-й мес</v>
      </c>
      <c r="C386" s="45">
        <f t="shared" si="78"/>
        <v>52727</v>
      </c>
      <c r="D386" s="46">
        <f t="shared" si="68"/>
        <v>0</v>
      </c>
      <c r="E386" s="47">
        <f t="shared" si="73"/>
        <v>0</v>
      </c>
      <c r="F386" s="47">
        <f t="shared" si="79"/>
        <v>0</v>
      </c>
      <c r="G386" s="48">
        <f t="shared" si="74"/>
        <v>0</v>
      </c>
      <c r="H386" s="49">
        <f t="shared" si="69"/>
        <v>0</v>
      </c>
      <c r="I386" s="47">
        <f t="shared" si="80"/>
        <v>0</v>
      </c>
      <c r="J386" s="47">
        <f t="shared" si="75"/>
        <v>0</v>
      </c>
      <c r="K386" s="50">
        <f t="shared" si="76"/>
        <v>0</v>
      </c>
      <c r="L386" s="63"/>
      <c r="M386" s="67"/>
      <c r="N386" s="51">
        <f t="shared" si="70"/>
        <v>7</v>
      </c>
      <c r="O386" s="19">
        <f t="shared" si="77"/>
        <v>10</v>
      </c>
      <c r="P386" s="20">
        <f t="shared" si="71"/>
        <v>0</v>
      </c>
      <c r="Q386" s="21"/>
      <c r="R386" s="21"/>
      <c r="S386" s="21"/>
      <c r="T386" s="21"/>
      <c r="U386" s="21"/>
      <c r="V386" s="21"/>
      <c r="W386" s="21"/>
      <c r="X386" s="21"/>
      <c r="Y386" s="21"/>
      <c r="Z386" s="21"/>
    </row>
    <row r="387" spans="1:26">
      <c r="A387" s="57">
        <v>380</v>
      </c>
      <c r="B387" s="44" t="str">
        <f t="shared" si="72"/>
        <v>32-й год 8-й мес</v>
      </c>
      <c r="C387" s="45">
        <f t="shared" si="78"/>
        <v>52758</v>
      </c>
      <c r="D387" s="46">
        <f t="shared" si="68"/>
        <v>0</v>
      </c>
      <c r="E387" s="47">
        <f t="shared" si="73"/>
        <v>0</v>
      </c>
      <c r="F387" s="47">
        <f t="shared" si="79"/>
        <v>0</v>
      </c>
      <c r="G387" s="48">
        <f t="shared" si="74"/>
        <v>0</v>
      </c>
      <c r="H387" s="49">
        <f t="shared" si="69"/>
        <v>0</v>
      </c>
      <c r="I387" s="47">
        <f t="shared" si="80"/>
        <v>0</v>
      </c>
      <c r="J387" s="47">
        <f t="shared" si="75"/>
        <v>0</v>
      </c>
      <c r="K387" s="50">
        <f t="shared" si="76"/>
        <v>0</v>
      </c>
      <c r="L387" s="63"/>
      <c r="M387" s="67"/>
      <c r="N387" s="51">
        <f t="shared" si="70"/>
        <v>7</v>
      </c>
      <c r="O387" s="19">
        <f t="shared" si="77"/>
        <v>10</v>
      </c>
      <c r="P387" s="20">
        <f t="shared" si="71"/>
        <v>0</v>
      </c>
      <c r="Q387" s="21"/>
      <c r="R387" s="21"/>
      <c r="S387" s="21"/>
      <c r="T387" s="21"/>
      <c r="U387" s="21"/>
      <c r="V387" s="21"/>
      <c r="W387" s="21"/>
      <c r="X387" s="21"/>
      <c r="Y387" s="21"/>
      <c r="Z387" s="21"/>
    </row>
    <row r="388" spans="1:26">
      <c r="A388" s="57">
        <v>381</v>
      </c>
      <c r="B388" s="44" t="str">
        <f t="shared" si="72"/>
        <v>32-й год 9-й мес</v>
      </c>
      <c r="C388" s="45">
        <f t="shared" si="78"/>
        <v>52788</v>
      </c>
      <c r="D388" s="46">
        <f t="shared" si="68"/>
        <v>0</v>
      </c>
      <c r="E388" s="47">
        <f t="shared" si="73"/>
        <v>0</v>
      </c>
      <c r="F388" s="47">
        <f t="shared" si="79"/>
        <v>0</v>
      </c>
      <c r="G388" s="48">
        <f t="shared" si="74"/>
        <v>0</v>
      </c>
      <c r="H388" s="49">
        <f t="shared" si="69"/>
        <v>0</v>
      </c>
      <c r="I388" s="47">
        <f t="shared" si="80"/>
        <v>0</v>
      </c>
      <c r="J388" s="47">
        <f t="shared" si="75"/>
        <v>0</v>
      </c>
      <c r="K388" s="50">
        <f t="shared" si="76"/>
        <v>0</v>
      </c>
      <c r="L388" s="63"/>
      <c r="M388" s="67"/>
      <c r="N388" s="51">
        <f t="shared" si="70"/>
        <v>7</v>
      </c>
      <c r="O388" s="19">
        <f t="shared" si="77"/>
        <v>10</v>
      </c>
      <c r="P388" s="20">
        <f t="shared" si="71"/>
        <v>0</v>
      </c>
      <c r="Q388" s="21"/>
      <c r="R388" s="21"/>
      <c r="S388" s="21"/>
      <c r="T388" s="21"/>
      <c r="U388" s="21"/>
      <c r="V388" s="21"/>
      <c r="W388" s="21"/>
      <c r="X388" s="21"/>
      <c r="Y388" s="21"/>
      <c r="Z388" s="21"/>
    </row>
    <row r="389" spans="1:26">
      <c r="A389" s="57">
        <v>382</v>
      </c>
      <c r="B389" s="44" t="str">
        <f t="shared" si="72"/>
        <v>32-й год 10-й мес</v>
      </c>
      <c r="C389" s="45">
        <f t="shared" si="78"/>
        <v>52819</v>
      </c>
      <c r="D389" s="46">
        <f t="shared" si="68"/>
        <v>0</v>
      </c>
      <c r="E389" s="47">
        <f t="shared" si="73"/>
        <v>0</v>
      </c>
      <c r="F389" s="47">
        <f t="shared" si="79"/>
        <v>0</v>
      </c>
      <c r="G389" s="48">
        <f t="shared" si="74"/>
        <v>0</v>
      </c>
      <c r="H389" s="49">
        <f t="shared" si="69"/>
        <v>0</v>
      </c>
      <c r="I389" s="47">
        <f t="shared" si="80"/>
        <v>0</v>
      </c>
      <c r="J389" s="47">
        <f t="shared" si="75"/>
        <v>0</v>
      </c>
      <c r="K389" s="50">
        <f t="shared" si="76"/>
        <v>0</v>
      </c>
      <c r="L389" s="63"/>
      <c r="M389" s="67"/>
      <c r="N389" s="51">
        <f t="shared" si="70"/>
        <v>7</v>
      </c>
      <c r="O389" s="19">
        <f t="shared" si="77"/>
        <v>10</v>
      </c>
      <c r="P389" s="20">
        <f t="shared" si="71"/>
        <v>0</v>
      </c>
      <c r="Q389" s="21"/>
      <c r="R389" s="21"/>
      <c r="S389" s="21"/>
      <c r="T389" s="21"/>
      <c r="U389" s="21"/>
      <c r="V389" s="21"/>
      <c r="W389" s="21"/>
      <c r="X389" s="21"/>
      <c r="Y389" s="21"/>
      <c r="Z389" s="21"/>
    </row>
    <row r="390" spans="1:26">
      <c r="A390" s="57">
        <v>383</v>
      </c>
      <c r="B390" s="44" t="str">
        <f t="shared" si="72"/>
        <v>32-й год 11-й мес</v>
      </c>
      <c r="C390" s="45">
        <f t="shared" si="78"/>
        <v>52850</v>
      </c>
      <c r="D390" s="46">
        <f t="shared" si="68"/>
        <v>0</v>
      </c>
      <c r="E390" s="47">
        <f t="shared" si="73"/>
        <v>0</v>
      </c>
      <c r="F390" s="47">
        <f t="shared" si="79"/>
        <v>0</v>
      </c>
      <c r="G390" s="48">
        <f t="shared" si="74"/>
        <v>0</v>
      </c>
      <c r="H390" s="49">
        <f t="shared" si="69"/>
        <v>0</v>
      </c>
      <c r="I390" s="47">
        <f t="shared" si="80"/>
        <v>0</v>
      </c>
      <c r="J390" s="47">
        <f t="shared" si="75"/>
        <v>0</v>
      </c>
      <c r="K390" s="50">
        <f t="shared" si="76"/>
        <v>0</v>
      </c>
      <c r="L390" s="63"/>
      <c r="M390" s="67"/>
      <c r="N390" s="51">
        <f t="shared" si="70"/>
        <v>7</v>
      </c>
      <c r="O390" s="19">
        <f t="shared" si="77"/>
        <v>10</v>
      </c>
      <c r="P390" s="20">
        <f t="shared" si="71"/>
        <v>0</v>
      </c>
      <c r="Q390" s="21"/>
      <c r="R390" s="21"/>
      <c r="S390" s="21"/>
      <c r="T390" s="21"/>
      <c r="U390" s="21"/>
      <c r="V390" s="21"/>
      <c r="W390" s="21"/>
      <c r="X390" s="21"/>
      <c r="Y390" s="21"/>
      <c r="Z390" s="21"/>
    </row>
    <row r="391" spans="1:26">
      <c r="A391" s="58">
        <v>384</v>
      </c>
      <c r="B391" s="44" t="str">
        <f t="shared" si="72"/>
        <v>32-й год 12-й мес</v>
      </c>
      <c r="C391" s="45">
        <f t="shared" si="78"/>
        <v>52880</v>
      </c>
      <c r="D391" s="46">
        <f t="shared" si="68"/>
        <v>0</v>
      </c>
      <c r="E391" s="59">
        <f t="shared" si="73"/>
        <v>0</v>
      </c>
      <c r="F391" s="47">
        <f t="shared" si="79"/>
        <v>0</v>
      </c>
      <c r="G391" s="60">
        <f t="shared" si="74"/>
        <v>0</v>
      </c>
      <c r="H391" s="61">
        <f t="shared" si="69"/>
        <v>0</v>
      </c>
      <c r="I391" s="59">
        <f t="shared" si="80"/>
        <v>0</v>
      </c>
      <c r="J391" s="59">
        <f t="shared" si="75"/>
        <v>0</v>
      </c>
      <c r="K391" s="62">
        <f t="shared" si="76"/>
        <v>0</v>
      </c>
      <c r="L391" s="66"/>
      <c r="M391" s="68"/>
      <c r="N391" s="51">
        <f t="shared" si="70"/>
        <v>7</v>
      </c>
      <c r="O391" s="19">
        <f t="shared" si="77"/>
        <v>10</v>
      </c>
      <c r="P391" s="20">
        <f t="shared" si="71"/>
        <v>0</v>
      </c>
      <c r="Q391" s="21"/>
      <c r="R391" s="21"/>
      <c r="S391" s="21"/>
      <c r="T391" s="21"/>
      <c r="U391" s="21"/>
      <c r="V391" s="21"/>
      <c r="W391" s="21"/>
      <c r="X391" s="21"/>
      <c r="Y391" s="21"/>
      <c r="Z391" s="21"/>
    </row>
    <row r="392" spans="1:26">
      <c r="A392" s="43">
        <v>385</v>
      </c>
      <c r="B392" s="44" t="str">
        <f t="shared" si="72"/>
        <v>33-й год 1-й мес</v>
      </c>
      <c r="C392" s="45">
        <f t="shared" si="78"/>
        <v>52911</v>
      </c>
      <c r="D392" s="46">
        <f t="shared" ref="D392:D455" si="81">IF(P392*$D$2/100/12/(1-(1+$D$2/100/12)^(-O392))&lt;G391,ROUNDUP(P392*$D$2/100/12/(1-(1+$D$2/100/12)^(-O392)),0),G391+F392)</f>
        <v>0</v>
      </c>
      <c r="E392" s="47">
        <f t="shared" si="73"/>
        <v>0</v>
      </c>
      <c r="F392" s="47">
        <f t="shared" si="79"/>
        <v>0</v>
      </c>
      <c r="G392" s="48">
        <f t="shared" si="74"/>
        <v>0</v>
      </c>
      <c r="H392" s="49">
        <f t="shared" ref="H392:H455" si="82">I392+J392</f>
        <v>0</v>
      </c>
      <c r="I392" s="47">
        <f t="shared" si="80"/>
        <v>0</v>
      </c>
      <c r="J392" s="47">
        <f t="shared" si="75"/>
        <v>0</v>
      </c>
      <c r="K392" s="50">
        <f t="shared" si="76"/>
        <v>0</v>
      </c>
      <c r="L392" s="63"/>
      <c r="M392" s="67"/>
      <c r="N392" s="51">
        <f t="shared" ref="N392:N455" si="83">IF(ISBLANK(L391),VALUE(N391),ROW(L391))</f>
        <v>7</v>
      </c>
      <c r="O392" s="19">
        <f t="shared" si="77"/>
        <v>10</v>
      </c>
      <c r="P392" s="20">
        <f t="shared" ref="P392:P455" si="84">INDEX(G:G,N392,1)</f>
        <v>0</v>
      </c>
      <c r="Q392" s="21"/>
      <c r="R392" s="21"/>
      <c r="S392" s="21"/>
      <c r="T392" s="21"/>
      <c r="U392" s="21"/>
      <c r="V392" s="21"/>
      <c r="W392" s="21"/>
      <c r="X392" s="21"/>
      <c r="Y392" s="21"/>
      <c r="Z392" s="21"/>
    </row>
    <row r="393" spans="1:26">
      <c r="A393" s="43">
        <v>386</v>
      </c>
      <c r="B393" s="44" t="str">
        <f t="shared" ref="B393:B456" si="85">CONCATENATE(INT((A393-1)/12)+1,"-й год ",A393-1-INT((A393-1)/12)*12+1,"-й мес")</f>
        <v>33-й год 2-й мес</v>
      </c>
      <c r="C393" s="45">
        <f t="shared" si="78"/>
        <v>52941</v>
      </c>
      <c r="D393" s="46">
        <f t="shared" si="81"/>
        <v>0</v>
      </c>
      <c r="E393" s="47">
        <f t="shared" ref="E393:E456" si="86">D393-F393</f>
        <v>0</v>
      </c>
      <c r="F393" s="47">
        <f t="shared" si="79"/>
        <v>0</v>
      </c>
      <c r="G393" s="48">
        <f t="shared" ref="G393:G456" si="87">G392-E393-L393-M393</f>
        <v>0</v>
      </c>
      <c r="H393" s="49">
        <f t="shared" si="82"/>
        <v>0</v>
      </c>
      <c r="I393" s="47">
        <f t="shared" si="80"/>
        <v>0</v>
      </c>
      <c r="J393" s="47">
        <f t="shared" ref="J393:J456" si="88">K392*$D$2/12/100</f>
        <v>0</v>
      </c>
      <c r="K393" s="50">
        <f t="shared" ref="K393:K456" si="89">K392-I393-L393-M393</f>
        <v>0</v>
      </c>
      <c r="L393" s="63"/>
      <c r="M393" s="67"/>
      <c r="N393" s="51">
        <f t="shared" si="83"/>
        <v>7</v>
      </c>
      <c r="O393" s="19">
        <f t="shared" ref="O393:O456" si="90">O392+N392-N393</f>
        <v>10</v>
      </c>
      <c r="P393" s="20">
        <f t="shared" si="84"/>
        <v>0</v>
      </c>
      <c r="Q393" s="21"/>
      <c r="R393" s="21"/>
      <c r="S393" s="21"/>
      <c r="T393" s="21"/>
      <c r="U393" s="21"/>
      <c r="V393" s="21"/>
      <c r="W393" s="21"/>
      <c r="X393" s="21"/>
      <c r="Y393" s="21"/>
      <c r="Z393" s="21"/>
    </row>
    <row r="394" spans="1:26">
      <c r="A394" s="43">
        <v>387</v>
      </c>
      <c r="B394" s="44" t="str">
        <f t="shared" si="85"/>
        <v>33-й год 3-й мес</v>
      </c>
      <c r="C394" s="45">
        <f t="shared" ref="C394:C457" si="91">DATE(YEAR(C393),MONTH(C393)+1,DAY(C393))</f>
        <v>52972</v>
      </c>
      <c r="D394" s="46">
        <f t="shared" si="81"/>
        <v>0</v>
      </c>
      <c r="E394" s="47">
        <f t="shared" si="86"/>
        <v>0</v>
      </c>
      <c r="F394" s="47">
        <f t="shared" ref="F394:F457" si="92">G393*$D$2*(C394-C393)/(DATE(YEAR(C394)+1,1,1)-DATE(YEAR(C394),1,1))/100</f>
        <v>0</v>
      </c>
      <c r="G394" s="48">
        <f t="shared" si="87"/>
        <v>0</v>
      </c>
      <c r="H394" s="49">
        <f t="shared" si="82"/>
        <v>0</v>
      </c>
      <c r="I394" s="47">
        <f t="shared" ref="I394:I457" si="93">IF($D$1/$D$3&lt;K393,$D$1/$D$3,K393)</f>
        <v>0</v>
      </c>
      <c r="J394" s="47">
        <f t="shared" si="88"/>
        <v>0</v>
      </c>
      <c r="K394" s="50">
        <f t="shared" si="89"/>
        <v>0</v>
      </c>
      <c r="L394" s="63"/>
      <c r="M394" s="67"/>
      <c r="N394" s="51">
        <f t="shared" si="83"/>
        <v>7</v>
      </c>
      <c r="O394" s="19">
        <f t="shared" si="90"/>
        <v>10</v>
      </c>
      <c r="P394" s="20">
        <f t="shared" si="84"/>
        <v>0</v>
      </c>
      <c r="Q394" s="21"/>
      <c r="R394" s="21"/>
      <c r="S394" s="21"/>
      <c r="T394" s="21"/>
      <c r="U394" s="21"/>
      <c r="V394" s="21"/>
      <c r="W394" s="21"/>
      <c r="X394" s="21"/>
      <c r="Y394" s="21"/>
      <c r="Z394" s="21"/>
    </row>
    <row r="395" spans="1:26">
      <c r="A395" s="43">
        <v>388</v>
      </c>
      <c r="B395" s="44" t="str">
        <f t="shared" si="85"/>
        <v>33-й год 4-й мес</v>
      </c>
      <c r="C395" s="45">
        <f t="shared" si="91"/>
        <v>53003</v>
      </c>
      <c r="D395" s="46">
        <f t="shared" si="81"/>
        <v>0</v>
      </c>
      <c r="E395" s="47">
        <f t="shared" si="86"/>
        <v>0</v>
      </c>
      <c r="F395" s="47">
        <f t="shared" si="92"/>
        <v>0</v>
      </c>
      <c r="G395" s="48">
        <f t="shared" si="87"/>
        <v>0</v>
      </c>
      <c r="H395" s="49">
        <f t="shared" si="82"/>
        <v>0</v>
      </c>
      <c r="I395" s="47">
        <f t="shared" si="93"/>
        <v>0</v>
      </c>
      <c r="J395" s="47">
        <f t="shared" si="88"/>
        <v>0</v>
      </c>
      <c r="K395" s="50">
        <f t="shared" si="89"/>
        <v>0</v>
      </c>
      <c r="L395" s="63"/>
      <c r="M395" s="67"/>
      <c r="N395" s="51">
        <f t="shared" si="83"/>
        <v>7</v>
      </c>
      <c r="O395" s="19">
        <f t="shared" si="90"/>
        <v>10</v>
      </c>
      <c r="P395" s="20">
        <f t="shared" si="84"/>
        <v>0</v>
      </c>
      <c r="Q395" s="21"/>
      <c r="R395" s="21"/>
      <c r="S395" s="21"/>
      <c r="T395" s="21"/>
      <c r="U395" s="21"/>
      <c r="V395" s="21"/>
      <c r="W395" s="21"/>
      <c r="X395" s="21"/>
      <c r="Y395" s="21"/>
      <c r="Z395" s="21"/>
    </row>
    <row r="396" spans="1:26">
      <c r="A396" s="43">
        <v>389</v>
      </c>
      <c r="B396" s="44" t="str">
        <f t="shared" si="85"/>
        <v>33-й год 5-й мес</v>
      </c>
      <c r="C396" s="45">
        <f t="shared" si="91"/>
        <v>53031</v>
      </c>
      <c r="D396" s="46">
        <f t="shared" si="81"/>
        <v>0</v>
      </c>
      <c r="E396" s="47">
        <f t="shared" si="86"/>
        <v>0</v>
      </c>
      <c r="F396" s="47">
        <f t="shared" si="92"/>
        <v>0</v>
      </c>
      <c r="G396" s="48">
        <f t="shared" si="87"/>
        <v>0</v>
      </c>
      <c r="H396" s="49">
        <f t="shared" si="82"/>
        <v>0</v>
      </c>
      <c r="I396" s="47">
        <f t="shared" si="93"/>
        <v>0</v>
      </c>
      <c r="J396" s="47">
        <f t="shared" si="88"/>
        <v>0</v>
      </c>
      <c r="K396" s="50">
        <f t="shared" si="89"/>
        <v>0</v>
      </c>
      <c r="L396" s="63"/>
      <c r="M396" s="67"/>
      <c r="N396" s="51">
        <f t="shared" si="83"/>
        <v>7</v>
      </c>
      <c r="O396" s="19">
        <f t="shared" si="90"/>
        <v>10</v>
      </c>
      <c r="P396" s="20">
        <f t="shared" si="84"/>
        <v>0</v>
      </c>
      <c r="Q396" s="21"/>
      <c r="R396" s="21"/>
      <c r="S396" s="21"/>
      <c r="T396" s="21"/>
      <c r="U396" s="21"/>
      <c r="V396" s="21"/>
      <c r="W396" s="21"/>
      <c r="X396" s="21"/>
      <c r="Y396" s="21"/>
      <c r="Z396" s="21"/>
    </row>
    <row r="397" spans="1:26">
      <c r="A397" s="43">
        <v>390</v>
      </c>
      <c r="B397" s="44" t="str">
        <f t="shared" si="85"/>
        <v>33-й год 6-й мес</v>
      </c>
      <c r="C397" s="45">
        <f t="shared" si="91"/>
        <v>53062</v>
      </c>
      <c r="D397" s="46">
        <f t="shared" si="81"/>
        <v>0</v>
      </c>
      <c r="E397" s="47">
        <f t="shared" si="86"/>
        <v>0</v>
      </c>
      <c r="F397" s="47">
        <f t="shared" si="92"/>
        <v>0</v>
      </c>
      <c r="G397" s="48">
        <f t="shared" si="87"/>
        <v>0</v>
      </c>
      <c r="H397" s="49">
        <f t="shared" si="82"/>
        <v>0</v>
      </c>
      <c r="I397" s="47">
        <f t="shared" si="93"/>
        <v>0</v>
      </c>
      <c r="J397" s="47">
        <f t="shared" si="88"/>
        <v>0</v>
      </c>
      <c r="K397" s="50">
        <f t="shared" si="89"/>
        <v>0</v>
      </c>
      <c r="L397" s="63"/>
      <c r="M397" s="67"/>
      <c r="N397" s="51">
        <f t="shared" si="83"/>
        <v>7</v>
      </c>
      <c r="O397" s="19">
        <f t="shared" si="90"/>
        <v>10</v>
      </c>
      <c r="P397" s="20">
        <f t="shared" si="84"/>
        <v>0</v>
      </c>
      <c r="Q397" s="21"/>
      <c r="R397" s="21"/>
      <c r="S397" s="21"/>
      <c r="T397" s="21"/>
      <c r="U397" s="21"/>
      <c r="V397" s="21"/>
      <c r="W397" s="21"/>
      <c r="X397" s="21"/>
      <c r="Y397" s="21"/>
      <c r="Z397" s="21"/>
    </row>
    <row r="398" spans="1:26">
      <c r="A398" s="43">
        <v>391</v>
      </c>
      <c r="B398" s="44" t="str">
        <f t="shared" si="85"/>
        <v>33-й год 7-й мес</v>
      </c>
      <c r="C398" s="45">
        <f t="shared" si="91"/>
        <v>53092</v>
      </c>
      <c r="D398" s="46">
        <f t="shared" si="81"/>
        <v>0</v>
      </c>
      <c r="E398" s="47">
        <f t="shared" si="86"/>
        <v>0</v>
      </c>
      <c r="F398" s="47">
        <f t="shared" si="92"/>
        <v>0</v>
      </c>
      <c r="G398" s="48">
        <f t="shared" si="87"/>
        <v>0</v>
      </c>
      <c r="H398" s="49">
        <f t="shared" si="82"/>
        <v>0</v>
      </c>
      <c r="I398" s="47">
        <f t="shared" si="93"/>
        <v>0</v>
      </c>
      <c r="J398" s="47">
        <f t="shared" si="88"/>
        <v>0</v>
      </c>
      <c r="K398" s="50">
        <f t="shared" si="89"/>
        <v>0</v>
      </c>
      <c r="L398" s="63"/>
      <c r="M398" s="67"/>
      <c r="N398" s="51">
        <f t="shared" si="83"/>
        <v>7</v>
      </c>
      <c r="O398" s="19">
        <f t="shared" si="90"/>
        <v>10</v>
      </c>
      <c r="P398" s="20">
        <f t="shared" si="84"/>
        <v>0</v>
      </c>
      <c r="Q398" s="21"/>
      <c r="R398" s="21"/>
      <c r="S398" s="21"/>
      <c r="T398" s="21"/>
      <c r="U398" s="21"/>
      <c r="V398" s="21"/>
      <c r="W398" s="21"/>
      <c r="X398" s="21"/>
      <c r="Y398" s="21"/>
      <c r="Z398" s="21"/>
    </row>
    <row r="399" spans="1:26">
      <c r="A399" s="43">
        <v>392</v>
      </c>
      <c r="B399" s="44" t="str">
        <f t="shared" si="85"/>
        <v>33-й год 8-й мес</v>
      </c>
      <c r="C399" s="45">
        <f t="shared" si="91"/>
        <v>53123</v>
      </c>
      <c r="D399" s="46">
        <f t="shared" si="81"/>
        <v>0</v>
      </c>
      <c r="E399" s="47">
        <f t="shared" si="86"/>
        <v>0</v>
      </c>
      <c r="F399" s="47">
        <f t="shared" si="92"/>
        <v>0</v>
      </c>
      <c r="G399" s="48">
        <f t="shared" si="87"/>
        <v>0</v>
      </c>
      <c r="H399" s="49">
        <f t="shared" si="82"/>
        <v>0</v>
      </c>
      <c r="I399" s="47">
        <f t="shared" si="93"/>
        <v>0</v>
      </c>
      <c r="J399" s="47">
        <f t="shared" si="88"/>
        <v>0</v>
      </c>
      <c r="K399" s="50">
        <f t="shared" si="89"/>
        <v>0</v>
      </c>
      <c r="L399" s="63"/>
      <c r="M399" s="67"/>
      <c r="N399" s="51">
        <f t="shared" si="83"/>
        <v>7</v>
      </c>
      <c r="O399" s="19">
        <f t="shared" si="90"/>
        <v>10</v>
      </c>
      <c r="P399" s="20">
        <f t="shared" si="84"/>
        <v>0</v>
      </c>
      <c r="Q399" s="21"/>
      <c r="R399" s="21"/>
      <c r="S399" s="21"/>
      <c r="T399" s="21"/>
      <c r="U399" s="21"/>
      <c r="V399" s="21"/>
      <c r="W399" s="21"/>
      <c r="X399" s="21"/>
      <c r="Y399" s="21"/>
      <c r="Z399" s="21"/>
    </row>
    <row r="400" spans="1:26">
      <c r="A400" s="43">
        <v>393</v>
      </c>
      <c r="B400" s="44" t="str">
        <f t="shared" si="85"/>
        <v>33-й год 9-й мес</v>
      </c>
      <c r="C400" s="45">
        <f t="shared" si="91"/>
        <v>53153</v>
      </c>
      <c r="D400" s="46">
        <f t="shared" si="81"/>
        <v>0</v>
      </c>
      <c r="E400" s="47">
        <f t="shared" si="86"/>
        <v>0</v>
      </c>
      <c r="F400" s="47">
        <f t="shared" si="92"/>
        <v>0</v>
      </c>
      <c r="G400" s="48">
        <f t="shared" si="87"/>
        <v>0</v>
      </c>
      <c r="H400" s="49">
        <f t="shared" si="82"/>
        <v>0</v>
      </c>
      <c r="I400" s="47">
        <f t="shared" si="93"/>
        <v>0</v>
      </c>
      <c r="J400" s="47">
        <f t="shared" si="88"/>
        <v>0</v>
      </c>
      <c r="K400" s="50">
        <f t="shared" si="89"/>
        <v>0</v>
      </c>
      <c r="L400" s="63"/>
      <c r="M400" s="67"/>
      <c r="N400" s="51">
        <f t="shared" si="83"/>
        <v>7</v>
      </c>
      <c r="O400" s="19">
        <f t="shared" si="90"/>
        <v>10</v>
      </c>
      <c r="P400" s="20">
        <f t="shared" si="84"/>
        <v>0</v>
      </c>
      <c r="Q400" s="21"/>
      <c r="R400" s="21"/>
      <c r="S400" s="21"/>
      <c r="T400" s="21"/>
      <c r="U400" s="21"/>
      <c r="V400" s="21"/>
      <c r="W400" s="21"/>
      <c r="X400" s="21"/>
      <c r="Y400" s="21"/>
      <c r="Z400" s="21"/>
    </row>
    <row r="401" spans="1:26">
      <c r="A401" s="43">
        <v>394</v>
      </c>
      <c r="B401" s="44" t="str">
        <f t="shared" si="85"/>
        <v>33-й год 10-й мес</v>
      </c>
      <c r="C401" s="45">
        <f t="shared" si="91"/>
        <v>53184</v>
      </c>
      <c r="D401" s="46">
        <f t="shared" si="81"/>
        <v>0</v>
      </c>
      <c r="E401" s="47">
        <f t="shared" si="86"/>
        <v>0</v>
      </c>
      <c r="F401" s="47">
        <f t="shared" si="92"/>
        <v>0</v>
      </c>
      <c r="G401" s="48">
        <f t="shared" si="87"/>
        <v>0</v>
      </c>
      <c r="H401" s="49">
        <f t="shared" si="82"/>
        <v>0</v>
      </c>
      <c r="I401" s="47">
        <f t="shared" si="93"/>
        <v>0</v>
      </c>
      <c r="J401" s="47">
        <f t="shared" si="88"/>
        <v>0</v>
      </c>
      <c r="K401" s="50">
        <f t="shared" si="89"/>
        <v>0</v>
      </c>
      <c r="L401" s="63"/>
      <c r="M401" s="67"/>
      <c r="N401" s="51">
        <f t="shared" si="83"/>
        <v>7</v>
      </c>
      <c r="O401" s="19">
        <f t="shared" si="90"/>
        <v>10</v>
      </c>
      <c r="P401" s="20">
        <f t="shared" si="84"/>
        <v>0</v>
      </c>
      <c r="Q401" s="21"/>
      <c r="R401" s="21"/>
      <c r="S401" s="21"/>
      <c r="T401" s="21"/>
      <c r="U401" s="21"/>
      <c r="V401" s="21"/>
      <c r="W401" s="21"/>
      <c r="X401" s="21"/>
      <c r="Y401" s="21"/>
      <c r="Z401" s="21"/>
    </row>
    <row r="402" spans="1:26">
      <c r="A402" s="43">
        <v>395</v>
      </c>
      <c r="B402" s="44" t="str">
        <f t="shared" si="85"/>
        <v>33-й год 11-й мес</v>
      </c>
      <c r="C402" s="45">
        <f t="shared" si="91"/>
        <v>53215</v>
      </c>
      <c r="D402" s="46">
        <f t="shared" si="81"/>
        <v>0</v>
      </c>
      <c r="E402" s="47">
        <f t="shared" si="86"/>
        <v>0</v>
      </c>
      <c r="F402" s="47">
        <f t="shared" si="92"/>
        <v>0</v>
      </c>
      <c r="G402" s="48">
        <f t="shared" si="87"/>
        <v>0</v>
      </c>
      <c r="H402" s="49">
        <f t="shared" si="82"/>
        <v>0</v>
      </c>
      <c r="I402" s="47">
        <f t="shared" si="93"/>
        <v>0</v>
      </c>
      <c r="J402" s="47">
        <f t="shared" si="88"/>
        <v>0</v>
      </c>
      <c r="K402" s="50">
        <f t="shared" si="89"/>
        <v>0</v>
      </c>
      <c r="L402" s="63"/>
      <c r="M402" s="67"/>
      <c r="N402" s="51">
        <f t="shared" si="83"/>
        <v>7</v>
      </c>
      <c r="O402" s="19">
        <f t="shared" si="90"/>
        <v>10</v>
      </c>
      <c r="P402" s="20">
        <f t="shared" si="84"/>
        <v>0</v>
      </c>
      <c r="Q402" s="21"/>
      <c r="R402" s="21"/>
      <c r="S402" s="21"/>
      <c r="T402" s="21"/>
      <c r="U402" s="21"/>
      <c r="V402" s="21"/>
      <c r="W402" s="21"/>
      <c r="X402" s="21"/>
      <c r="Y402" s="21"/>
      <c r="Z402" s="21"/>
    </row>
    <row r="403" spans="1:26">
      <c r="A403" s="43">
        <v>396</v>
      </c>
      <c r="B403" s="44" t="str">
        <f t="shared" si="85"/>
        <v>33-й год 12-й мес</v>
      </c>
      <c r="C403" s="45">
        <f t="shared" si="91"/>
        <v>53245</v>
      </c>
      <c r="D403" s="46">
        <f t="shared" si="81"/>
        <v>0</v>
      </c>
      <c r="E403" s="47">
        <f t="shared" si="86"/>
        <v>0</v>
      </c>
      <c r="F403" s="47">
        <f t="shared" si="92"/>
        <v>0</v>
      </c>
      <c r="G403" s="48">
        <f t="shared" si="87"/>
        <v>0</v>
      </c>
      <c r="H403" s="49">
        <f t="shared" si="82"/>
        <v>0</v>
      </c>
      <c r="I403" s="47">
        <f t="shared" si="93"/>
        <v>0</v>
      </c>
      <c r="J403" s="47">
        <f t="shared" si="88"/>
        <v>0</v>
      </c>
      <c r="K403" s="50">
        <f t="shared" si="89"/>
        <v>0</v>
      </c>
      <c r="L403" s="63"/>
      <c r="M403" s="67"/>
      <c r="N403" s="51">
        <f t="shared" si="83"/>
        <v>7</v>
      </c>
      <c r="O403" s="19">
        <f t="shared" si="90"/>
        <v>10</v>
      </c>
      <c r="P403" s="20">
        <f t="shared" si="84"/>
        <v>0</v>
      </c>
      <c r="Q403" s="21"/>
      <c r="R403" s="21"/>
      <c r="S403" s="21"/>
      <c r="T403" s="21"/>
      <c r="U403" s="21"/>
      <c r="V403" s="21"/>
      <c r="W403" s="21"/>
      <c r="X403" s="21"/>
      <c r="Y403" s="21"/>
      <c r="Z403" s="21"/>
    </row>
    <row r="404" spans="1:26">
      <c r="A404" s="52">
        <v>397</v>
      </c>
      <c r="B404" s="44" t="str">
        <f t="shared" si="85"/>
        <v>34-й год 1-й мес</v>
      </c>
      <c r="C404" s="45">
        <f t="shared" si="91"/>
        <v>53276</v>
      </c>
      <c r="D404" s="46">
        <f t="shared" si="81"/>
        <v>0</v>
      </c>
      <c r="E404" s="53">
        <f t="shared" si="86"/>
        <v>0</v>
      </c>
      <c r="F404" s="47">
        <f t="shared" si="92"/>
        <v>0</v>
      </c>
      <c r="G404" s="54">
        <f t="shared" si="87"/>
        <v>0</v>
      </c>
      <c r="H404" s="55">
        <f t="shared" si="82"/>
        <v>0</v>
      </c>
      <c r="I404" s="53">
        <f t="shared" si="93"/>
        <v>0</v>
      </c>
      <c r="J404" s="53">
        <f t="shared" si="88"/>
        <v>0</v>
      </c>
      <c r="K404" s="56">
        <f t="shared" si="89"/>
        <v>0</v>
      </c>
      <c r="L404" s="65"/>
      <c r="M404" s="64"/>
      <c r="N404" s="51">
        <f t="shared" si="83"/>
        <v>7</v>
      </c>
      <c r="O404" s="19">
        <f t="shared" si="90"/>
        <v>10</v>
      </c>
      <c r="P404" s="20">
        <f t="shared" si="84"/>
        <v>0</v>
      </c>
      <c r="Q404" s="21"/>
      <c r="R404" s="21"/>
      <c r="S404" s="21"/>
      <c r="T404" s="21"/>
      <c r="U404" s="21"/>
      <c r="V404" s="21"/>
      <c r="W404" s="21"/>
      <c r="X404" s="21"/>
      <c r="Y404" s="21"/>
      <c r="Z404" s="21"/>
    </row>
    <row r="405" spans="1:26">
      <c r="A405" s="57">
        <v>398</v>
      </c>
      <c r="B405" s="44" t="str">
        <f t="shared" si="85"/>
        <v>34-й год 2-й мес</v>
      </c>
      <c r="C405" s="45">
        <f t="shared" si="91"/>
        <v>53306</v>
      </c>
      <c r="D405" s="46">
        <f t="shared" si="81"/>
        <v>0</v>
      </c>
      <c r="E405" s="47">
        <f t="shared" si="86"/>
        <v>0</v>
      </c>
      <c r="F405" s="47">
        <f t="shared" si="92"/>
        <v>0</v>
      </c>
      <c r="G405" s="48">
        <f t="shared" si="87"/>
        <v>0</v>
      </c>
      <c r="H405" s="49">
        <f t="shared" si="82"/>
        <v>0</v>
      </c>
      <c r="I405" s="47">
        <f t="shared" si="93"/>
        <v>0</v>
      </c>
      <c r="J405" s="47">
        <f t="shared" si="88"/>
        <v>0</v>
      </c>
      <c r="K405" s="50">
        <f t="shared" si="89"/>
        <v>0</v>
      </c>
      <c r="L405" s="63"/>
      <c r="M405" s="67"/>
      <c r="N405" s="51">
        <f t="shared" si="83"/>
        <v>7</v>
      </c>
      <c r="O405" s="19">
        <f t="shared" si="90"/>
        <v>10</v>
      </c>
      <c r="P405" s="20">
        <f t="shared" si="84"/>
        <v>0</v>
      </c>
      <c r="Q405" s="21"/>
      <c r="R405" s="21"/>
      <c r="S405" s="21"/>
      <c r="T405" s="21"/>
      <c r="U405" s="21"/>
      <c r="V405" s="21"/>
      <c r="W405" s="21"/>
      <c r="X405" s="21"/>
      <c r="Y405" s="21"/>
      <c r="Z405" s="21"/>
    </row>
    <row r="406" spans="1:26">
      <c r="A406" s="57">
        <v>399</v>
      </c>
      <c r="B406" s="44" t="str">
        <f t="shared" si="85"/>
        <v>34-й год 3-й мес</v>
      </c>
      <c r="C406" s="45">
        <f t="shared" si="91"/>
        <v>53337</v>
      </c>
      <c r="D406" s="46">
        <f t="shared" si="81"/>
        <v>0</v>
      </c>
      <c r="E406" s="47">
        <f t="shared" si="86"/>
        <v>0</v>
      </c>
      <c r="F406" s="47">
        <f t="shared" si="92"/>
        <v>0</v>
      </c>
      <c r="G406" s="48">
        <f t="shared" si="87"/>
        <v>0</v>
      </c>
      <c r="H406" s="49">
        <f t="shared" si="82"/>
        <v>0</v>
      </c>
      <c r="I406" s="47">
        <f t="shared" si="93"/>
        <v>0</v>
      </c>
      <c r="J406" s="47">
        <f t="shared" si="88"/>
        <v>0</v>
      </c>
      <c r="K406" s="50">
        <f t="shared" si="89"/>
        <v>0</v>
      </c>
      <c r="L406" s="63"/>
      <c r="M406" s="67"/>
      <c r="N406" s="51">
        <f t="shared" si="83"/>
        <v>7</v>
      </c>
      <c r="O406" s="19">
        <f t="shared" si="90"/>
        <v>10</v>
      </c>
      <c r="P406" s="20">
        <f t="shared" si="84"/>
        <v>0</v>
      </c>
      <c r="Q406" s="21"/>
      <c r="R406" s="21"/>
      <c r="S406" s="21"/>
      <c r="T406" s="21"/>
      <c r="U406" s="21"/>
      <c r="V406" s="21"/>
      <c r="W406" s="21"/>
      <c r="X406" s="21"/>
      <c r="Y406" s="21"/>
      <c r="Z406" s="21"/>
    </row>
    <row r="407" spans="1:26">
      <c r="A407" s="57">
        <v>400</v>
      </c>
      <c r="B407" s="44" t="str">
        <f t="shared" si="85"/>
        <v>34-й год 4-й мес</v>
      </c>
      <c r="C407" s="45">
        <f t="shared" si="91"/>
        <v>53368</v>
      </c>
      <c r="D407" s="46">
        <f t="shared" si="81"/>
        <v>0</v>
      </c>
      <c r="E407" s="47">
        <f t="shared" si="86"/>
        <v>0</v>
      </c>
      <c r="F407" s="47">
        <f t="shared" si="92"/>
        <v>0</v>
      </c>
      <c r="G407" s="48">
        <f t="shared" si="87"/>
        <v>0</v>
      </c>
      <c r="H407" s="49">
        <f t="shared" si="82"/>
        <v>0</v>
      </c>
      <c r="I407" s="47">
        <f t="shared" si="93"/>
        <v>0</v>
      </c>
      <c r="J407" s="47">
        <f t="shared" si="88"/>
        <v>0</v>
      </c>
      <c r="K407" s="50">
        <f t="shared" si="89"/>
        <v>0</v>
      </c>
      <c r="L407" s="63"/>
      <c r="M407" s="67"/>
      <c r="N407" s="51">
        <f t="shared" si="83"/>
        <v>7</v>
      </c>
      <c r="O407" s="19">
        <f t="shared" si="90"/>
        <v>10</v>
      </c>
      <c r="P407" s="20">
        <f t="shared" si="84"/>
        <v>0</v>
      </c>
      <c r="Q407" s="21"/>
      <c r="R407" s="21"/>
      <c r="S407" s="21"/>
      <c r="T407" s="21"/>
      <c r="U407" s="21"/>
      <c r="V407" s="21"/>
      <c r="W407" s="21"/>
      <c r="X407" s="21"/>
      <c r="Y407" s="21"/>
      <c r="Z407" s="21"/>
    </row>
    <row r="408" spans="1:26">
      <c r="A408" s="57">
        <v>401</v>
      </c>
      <c r="B408" s="44" t="str">
        <f t="shared" si="85"/>
        <v>34-й год 5-й мес</v>
      </c>
      <c r="C408" s="45">
        <f t="shared" si="91"/>
        <v>53396</v>
      </c>
      <c r="D408" s="46">
        <f t="shared" si="81"/>
        <v>0</v>
      </c>
      <c r="E408" s="47">
        <f t="shared" si="86"/>
        <v>0</v>
      </c>
      <c r="F408" s="47">
        <f t="shared" si="92"/>
        <v>0</v>
      </c>
      <c r="G408" s="48">
        <f t="shared" si="87"/>
        <v>0</v>
      </c>
      <c r="H408" s="49">
        <f t="shared" si="82"/>
        <v>0</v>
      </c>
      <c r="I408" s="47">
        <f t="shared" si="93"/>
        <v>0</v>
      </c>
      <c r="J408" s="47">
        <f t="shared" si="88"/>
        <v>0</v>
      </c>
      <c r="K408" s="50">
        <f t="shared" si="89"/>
        <v>0</v>
      </c>
      <c r="L408" s="63"/>
      <c r="M408" s="67"/>
      <c r="N408" s="51">
        <f t="shared" si="83"/>
        <v>7</v>
      </c>
      <c r="O408" s="19">
        <f t="shared" si="90"/>
        <v>10</v>
      </c>
      <c r="P408" s="20">
        <f t="shared" si="84"/>
        <v>0</v>
      </c>
      <c r="Q408" s="21"/>
      <c r="R408" s="21"/>
      <c r="S408" s="21"/>
      <c r="T408" s="21"/>
      <c r="U408" s="21"/>
      <c r="V408" s="21"/>
      <c r="W408" s="21"/>
      <c r="X408" s="21"/>
      <c r="Y408" s="21"/>
      <c r="Z408" s="21"/>
    </row>
    <row r="409" spans="1:26">
      <c r="A409" s="57">
        <v>402</v>
      </c>
      <c r="B409" s="44" t="str">
        <f t="shared" si="85"/>
        <v>34-й год 6-й мес</v>
      </c>
      <c r="C409" s="45">
        <f t="shared" si="91"/>
        <v>53427</v>
      </c>
      <c r="D409" s="46">
        <f t="shared" si="81"/>
        <v>0</v>
      </c>
      <c r="E409" s="47">
        <f t="shared" si="86"/>
        <v>0</v>
      </c>
      <c r="F409" s="47">
        <f t="shared" si="92"/>
        <v>0</v>
      </c>
      <c r="G409" s="48">
        <f t="shared" si="87"/>
        <v>0</v>
      </c>
      <c r="H409" s="49">
        <f t="shared" si="82"/>
        <v>0</v>
      </c>
      <c r="I409" s="47">
        <f t="shared" si="93"/>
        <v>0</v>
      </c>
      <c r="J409" s="47">
        <f t="shared" si="88"/>
        <v>0</v>
      </c>
      <c r="K409" s="50">
        <f t="shared" si="89"/>
        <v>0</v>
      </c>
      <c r="L409" s="63"/>
      <c r="M409" s="67"/>
      <c r="N409" s="51">
        <f t="shared" si="83"/>
        <v>7</v>
      </c>
      <c r="O409" s="19">
        <f t="shared" si="90"/>
        <v>10</v>
      </c>
      <c r="P409" s="20">
        <f t="shared" si="84"/>
        <v>0</v>
      </c>
      <c r="Q409" s="21"/>
      <c r="R409" s="21"/>
      <c r="S409" s="21"/>
      <c r="T409" s="21"/>
      <c r="U409" s="21"/>
      <c r="V409" s="21"/>
      <c r="W409" s="21"/>
      <c r="X409" s="21"/>
      <c r="Y409" s="21"/>
      <c r="Z409" s="21"/>
    </row>
    <row r="410" spans="1:26">
      <c r="A410" s="57">
        <v>403</v>
      </c>
      <c r="B410" s="44" t="str">
        <f t="shared" si="85"/>
        <v>34-й год 7-й мес</v>
      </c>
      <c r="C410" s="45">
        <f t="shared" si="91"/>
        <v>53457</v>
      </c>
      <c r="D410" s="46">
        <f t="shared" si="81"/>
        <v>0</v>
      </c>
      <c r="E410" s="47">
        <f t="shared" si="86"/>
        <v>0</v>
      </c>
      <c r="F410" s="47">
        <f t="shared" si="92"/>
        <v>0</v>
      </c>
      <c r="G410" s="48">
        <f t="shared" si="87"/>
        <v>0</v>
      </c>
      <c r="H410" s="49">
        <f t="shared" si="82"/>
        <v>0</v>
      </c>
      <c r="I410" s="47">
        <f t="shared" si="93"/>
        <v>0</v>
      </c>
      <c r="J410" s="47">
        <f t="shared" si="88"/>
        <v>0</v>
      </c>
      <c r="K410" s="50">
        <f t="shared" si="89"/>
        <v>0</v>
      </c>
      <c r="L410" s="63"/>
      <c r="M410" s="67"/>
      <c r="N410" s="51">
        <f t="shared" si="83"/>
        <v>7</v>
      </c>
      <c r="O410" s="19">
        <f t="shared" si="90"/>
        <v>10</v>
      </c>
      <c r="P410" s="20">
        <f t="shared" si="84"/>
        <v>0</v>
      </c>
      <c r="Q410" s="21"/>
      <c r="R410" s="21"/>
      <c r="S410" s="21"/>
      <c r="T410" s="21"/>
      <c r="U410" s="21"/>
      <c r="V410" s="21"/>
      <c r="W410" s="21"/>
      <c r="X410" s="21"/>
      <c r="Y410" s="21"/>
      <c r="Z410" s="21"/>
    </row>
    <row r="411" spans="1:26">
      <c r="A411" s="57">
        <v>404</v>
      </c>
      <c r="B411" s="44" t="str">
        <f t="shared" si="85"/>
        <v>34-й год 8-й мес</v>
      </c>
      <c r="C411" s="45">
        <f t="shared" si="91"/>
        <v>53488</v>
      </c>
      <c r="D411" s="46">
        <f t="shared" si="81"/>
        <v>0</v>
      </c>
      <c r="E411" s="47">
        <f t="shared" si="86"/>
        <v>0</v>
      </c>
      <c r="F411" s="47">
        <f t="shared" si="92"/>
        <v>0</v>
      </c>
      <c r="G411" s="48">
        <f t="shared" si="87"/>
        <v>0</v>
      </c>
      <c r="H411" s="49">
        <f t="shared" si="82"/>
        <v>0</v>
      </c>
      <c r="I411" s="47">
        <f t="shared" si="93"/>
        <v>0</v>
      </c>
      <c r="J411" s="47">
        <f t="shared" si="88"/>
        <v>0</v>
      </c>
      <c r="K411" s="50">
        <f t="shared" si="89"/>
        <v>0</v>
      </c>
      <c r="L411" s="63"/>
      <c r="M411" s="67"/>
      <c r="N411" s="51">
        <f t="shared" si="83"/>
        <v>7</v>
      </c>
      <c r="O411" s="19">
        <f t="shared" si="90"/>
        <v>10</v>
      </c>
      <c r="P411" s="20">
        <f t="shared" si="84"/>
        <v>0</v>
      </c>
      <c r="Q411" s="21"/>
      <c r="R411" s="21"/>
      <c r="S411" s="21"/>
      <c r="T411" s="21"/>
      <c r="U411" s="21"/>
      <c r="V411" s="21"/>
      <c r="W411" s="21"/>
      <c r="X411" s="21"/>
      <c r="Y411" s="21"/>
      <c r="Z411" s="21"/>
    </row>
    <row r="412" spans="1:26">
      <c r="A412" s="57">
        <v>405</v>
      </c>
      <c r="B412" s="44" t="str">
        <f t="shared" si="85"/>
        <v>34-й год 9-й мес</v>
      </c>
      <c r="C412" s="45">
        <f t="shared" si="91"/>
        <v>53518</v>
      </c>
      <c r="D412" s="46">
        <f t="shared" si="81"/>
        <v>0</v>
      </c>
      <c r="E412" s="47">
        <f t="shared" si="86"/>
        <v>0</v>
      </c>
      <c r="F412" s="47">
        <f t="shared" si="92"/>
        <v>0</v>
      </c>
      <c r="G412" s="48">
        <f t="shared" si="87"/>
        <v>0</v>
      </c>
      <c r="H412" s="49">
        <f t="shared" si="82"/>
        <v>0</v>
      </c>
      <c r="I412" s="47">
        <f t="shared" si="93"/>
        <v>0</v>
      </c>
      <c r="J412" s="47">
        <f t="shared" si="88"/>
        <v>0</v>
      </c>
      <c r="K412" s="50">
        <f t="shared" si="89"/>
        <v>0</v>
      </c>
      <c r="L412" s="63"/>
      <c r="M412" s="67"/>
      <c r="N412" s="51">
        <f t="shared" si="83"/>
        <v>7</v>
      </c>
      <c r="O412" s="19">
        <f t="shared" si="90"/>
        <v>10</v>
      </c>
      <c r="P412" s="20">
        <f t="shared" si="84"/>
        <v>0</v>
      </c>
      <c r="Q412" s="21"/>
      <c r="R412" s="21"/>
      <c r="S412" s="21"/>
      <c r="T412" s="21"/>
      <c r="U412" s="21"/>
      <c r="V412" s="21"/>
      <c r="W412" s="21"/>
      <c r="X412" s="21"/>
      <c r="Y412" s="21"/>
      <c r="Z412" s="21"/>
    </row>
    <row r="413" spans="1:26">
      <c r="A413" s="57">
        <v>406</v>
      </c>
      <c r="B413" s="44" t="str">
        <f t="shared" si="85"/>
        <v>34-й год 10-й мес</v>
      </c>
      <c r="C413" s="45">
        <f t="shared" si="91"/>
        <v>53549</v>
      </c>
      <c r="D413" s="46">
        <f t="shared" si="81"/>
        <v>0</v>
      </c>
      <c r="E413" s="47">
        <f t="shared" si="86"/>
        <v>0</v>
      </c>
      <c r="F413" s="47">
        <f t="shared" si="92"/>
        <v>0</v>
      </c>
      <c r="G413" s="48">
        <f t="shared" si="87"/>
        <v>0</v>
      </c>
      <c r="H413" s="49">
        <f t="shared" si="82"/>
        <v>0</v>
      </c>
      <c r="I413" s="47">
        <f t="shared" si="93"/>
        <v>0</v>
      </c>
      <c r="J413" s="47">
        <f t="shared" si="88"/>
        <v>0</v>
      </c>
      <c r="K413" s="50">
        <f t="shared" si="89"/>
        <v>0</v>
      </c>
      <c r="L413" s="63"/>
      <c r="M413" s="67"/>
      <c r="N413" s="51">
        <f t="shared" si="83"/>
        <v>7</v>
      </c>
      <c r="O413" s="19">
        <f t="shared" si="90"/>
        <v>10</v>
      </c>
      <c r="P413" s="20">
        <f t="shared" si="84"/>
        <v>0</v>
      </c>
      <c r="Q413" s="21"/>
      <c r="R413" s="21"/>
      <c r="S413" s="21"/>
      <c r="T413" s="21"/>
      <c r="U413" s="21"/>
      <c r="V413" s="21"/>
      <c r="W413" s="21"/>
      <c r="X413" s="21"/>
      <c r="Y413" s="21"/>
      <c r="Z413" s="21"/>
    </row>
    <row r="414" spans="1:26">
      <c r="A414" s="57">
        <v>407</v>
      </c>
      <c r="B414" s="44" t="str">
        <f t="shared" si="85"/>
        <v>34-й год 11-й мес</v>
      </c>
      <c r="C414" s="45">
        <f t="shared" si="91"/>
        <v>53580</v>
      </c>
      <c r="D414" s="46">
        <f t="shared" si="81"/>
        <v>0</v>
      </c>
      <c r="E414" s="47">
        <f t="shared" si="86"/>
        <v>0</v>
      </c>
      <c r="F414" s="47">
        <f t="shared" si="92"/>
        <v>0</v>
      </c>
      <c r="G414" s="48">
        <f t="shared" si="87"/>
        <v>0</v>
      </c>
      <c r="H414" s="49">
        <f t="shared" si="82"/>
        <v>0</v>
      </c>
      <c r="I414" s="47">
        <f t="shared" si="93"/>
        <v>0</v>
      </c>
      <c r="J414" s="47">
        <f t="shared" si="88"/>
        <v>0</v>
      </c>
      <c r="K414" s="50">
        <f t="shared" si="89"/>
        <v>0</v>
      </c>
      <c r="L414" s="63"/>
      <c r="M414" s="67"/>
      <c r="N414" s="51">
        <f t="shared" si="83"/>
        <v>7</v>
      </c>
      <c r="O414" s="19">
        <f t="shared" si="90"/>
        <v>10</v>
      </c>
      <c r="P414" s="20">
        <f t="shared" si="84"/>
        <v>0</v>
      </c>
      <c r="Q414" s="21"/>
      <c r="R414" s="21"/>
      <c r="S414" s="21"/>
      <c r="T414" s="21"/>
      <c r="U414" s="21"/>
      <c r="V414" s="21"/>
      <c r="W414" s="21"/>
      <c r="X414" s="21"/>
      <c r="Y414" s="21"/>
      <c r="Z414" s="21"/>
    </row>
    <row r="415" spans="1:26">
      <c r="A415" s="58">
        <v>408</v>
      </c>
      <c r="B415" s="44" t="str">
        <f t="shared" si="85"/>
        <v>34-й год 12-й мес</v>
      </c>
      <c r="C415" s="45">
        <f t="shared" si="91"/>
        <v>53610</v>
      </c>
      <c r="D415" s="46">
        <f t="shared" si="81"/>
        <v>0</v>
      </c>
      <c r="E415" s="59">
        <f t="shared" si="86"/>
        <v>0</v>
      </c>
      <c r="F415" s="47">
        <f t="shared" si="92"/>
        <v>0</v>
      </c>
      <c r="G415" s="60">
        <f t="shared" si="87"/>
        <v>0</v>
      </c>
      <c r="H415" s="61">
        <f t="shared" si="82"/>
        <v>0</v>
      </c>
      <c r="I415" s="59">
        <f t="shared" si="93"/>
        <v>0</v>
      </c>
      <c r="J415" s="59">
        <f t="shared" si="88"/>
        <v>0</v>
      </c>
      <c r="K415" s="62">
        <f t="shared" si="89"/>
        <v>0</v>
      </c>
      <c r="L415" s="66"/>
      <c r="M415" s="68"/>
      <c r="N415" s="51">
        <f t="shared" si="83"/>
        <v>7</v>
      </c>
      <c r="O415" s="19">
        <f t="shared" si="90"/>
        <v>10</v>
      </c>
      <c r="P415" s="20">
        <f t="shared" si="84"/>
        <v>0</v>
      </c>
      <c r="Q415" s="21"/>
      <c r="R415" s="21"/>
      <c r="S415" s="21"/>
      <c r="T415" s="21"/>
      <c r="U415" s="21"/>
      <c r="V415" s="21"/>
      <c r="W415" s="21"/>
      <c r="X415" s="21"/>
      <c r="Y415" s="21"/>
      <c r="Z415" s="21"/>
    </row>
    <row r="416" spans="1:26">
      <c r="A416" s="43">
        <v>409</v>
      </c>
      <c r="B416" s="44" t="str">
        <f t="shared" si="85"/>
        <v>35-й год 1-й мес</v>
      </c>
      <c r="C416" s="45">
        <f t="shared" si="91"/>
        <v>53641</v>
      </c>
      <c r="D416" s="46">
        <f t="shared" si="81"/>
        <v>0</v>
      </c>
      <c r="E416" s="47">
        <f t="shared" si="86"/>
        <v>0</v>
      </c>
      <c r="F416" s="47">
        <f t="shared" si="92"/>
        <v>0</v>
      </c>
      <c r="G416" s="48">
        <f t="shared" si="87"/>
        <v>0</v>
      </c>
      <c r="H416" s="49">
        <f t="shared" si="82"/>
        <v>0</v>
      </c>
      <c r="I416" s="47">
        <f t="shared" si="93"/>
        <v>0</v>
      </c>
      <c r="J416" s="47">
        <f t="shared" si="88"/>
        <v>0</v>
      </c>
      <c r="K416" s="50">
        <f t="shared" si="89"/>
        <v>0</v>
      </c>
      <c r="L416" s="63"/>
      <c r="M416" s="67"/>
      <c r="N416" s="51">
        <f t="shared" si="83"/>
        <v>7</v>
      </c>
      <c r="O416" s="19">
        <f t="shared" si="90"/>
        <v>10</v>
      </c>
      <c r="P416" s="20">
        <f t="shared" si="84"/>
        <v>0</v>
      </c>
      <c r="Q416" s="21"/>
      <c r="R416" s="21"/>
      <c r="S416" s="21"/>
      <c r="T416" s="21"/>
      <c r="U416" s="21"/>
      <c r="V416" s="21"/>
      <c r="W416" s="21"/>
      <c r="X416" s="21"/>
      <c r="Y416" s="21"/>
      <c r="Z416" s="21"/>
    </row>
    <row r="417" spans="1:26">
      <c r="A417" s="43">
        <v>410</v>
      </c>
      <c r="B417" s="44" t="str">
        <f t="shared" si="85"/>
        <v>35-й год 2-й мес</v>
      </c>
      <c r="C417" s="45">
        <f t="shared" si="91"/>
        <v>53671</v>
      </c>
      <c r="D417" s="46">
        <f t="shared" si="81"/>
        <v>0</v>
      </c>
      <c r="E417" s="47">
        <f t="shared" si="86"/>
        <v>0</v>
      </c>
      <c r="F417" s="47">
        <f t="shared" si="92"/>
        <v>0</v>
      </c>
      <c r="G417" s="48">
        <f t="shared" si="87"/>
        <v>0</v>
      </c>
      <c r="H417" s="49">
        <f t="shared" si="82"/>
        <v>0</v>
      </c>
      <c r="I417" s="47">
        <f t="shared" si="93"/>
        <v>0</v>
      </c>
      <c r="J417" s="47">
        <f t="shared" si="88"/>
        <v>0</v>
      </c>
      <c r="K417" s="50">
        <f t="shared" si="89"/>
        <v>0</v>
      </c>
      <c r="L417" s="63"/>
      <c r="M417" s="67"/>
      <c r="N417" s="51">
        <f t="shared" si="83"/>
        <v>7</v>
      </c>
      <c r="O417" s="19">
        <f t="shared" si="90"/>
        <v>10</v>
      </c>
      <c r="P417" s="20">
        <f t="shared" si="84"/>
        <v>0</v>
      </c>
      <c r="Q417" s="21"/>
      <c r="R417" s="21"/>
      <c r="S417" s="21"/>
      <c r="T417" s="21"/>
      <c r="U417" s="21"/>
      <c r="V417" s="21"/>
      <c r="W417" s="21"/>
      <c r="X417" s="21"/>
      <c r="Y417" s="21"/>
      <c r="Z417" s="21"/>
    </row>
    <row r="418" spans="1:26">
      <c r="A418" s="43">
        <v>411</v>
      </c>
      <c r="B418" s="44" t="str">
        <f t="shared" si="85"/>
        <v>35-й год 3-й мес</v>
      </c>
      <c r="C418" s="45">
        <f t="shared" si="91"/>
        <v>53702</v>
      </c>
      <c r="D418" s="46">
        <f t="shared" si="81"/>
        <v>0</v>
      </c>
      <c r="E418" s="47">
        <f t="shared" si="86"/>
        <v>0</v>
      </c>
      <c r="F418" s="47">
        <f t="shared" si="92"/>
        <v>0</v>
      </c>
      <c r="G418" s="48">
        <f t="shared" si="87"/>
        <v>0</v>
      </c>
      <c r="H418" s="49">
        <f t="shared" si="82"/>
        <v>0</v>
      </c>
      <c r="I418" s="47">
        <f t="shared" si="93"/>
        <v>0</v>
      </c>
      <c r="J418" s="47">
        <f t="shared" si="88"/>
        <v>0</v>
      </c>
      <c r="K418" s="50">
        <f t="shared" si="89"/>
        <v>0</v>
      </c>
      <c r="L418" s="63"/>
      <c r="M418" s="67"/>
      <c r="N418" s="51">
        <f t="shared" si="83"/>
        <v>7</v>
      </c>
      <c r="O418" s="19">
        <f t="shared" si="90"/>
        <v>10</v>
      </c>
      <c r="P418" s="20">
        <f t="shared" si="84"/>
        <v>0</v>
      </c>
      <c r="Q418" s="21"/>
      <c r="R418" s="21"/>
      <c r="S418" s="21"/>
      <c r="T418" s="21"/>
      <c r="U418" s="21"/>
      <c r="V418" s="21"/>
      <c r="W418" s="21"/>
      <c r="X418" s="21"/>
      <c r="Y418" s="21"/>
      <c r="Z418" s="21"/>
    </row>
    <row r="419" spans="1:26">
      <c r="A419" s="43">
        <v>412</v>
      </c>
      <c r="B419" s="44" t="str">
        <f t="shared" si="85"/>
        <v>35-й год 4-й мес</v>
      </c>
      <c r="C419" s="45">
        <f t="shared" si="91"/>
        <v>53733</v>
      </c>
      <c r="D419" s="46">
        <f t="shared" si="81"/>
        <v>0</v>
      </c>
      <c r="E419" s="47">
        <f t="shared" si="86"/>
        <v>0</v>
      </c>
      <c r="F419" s="47">
        <f t="shared" si="92"/>
        <v>0</v>
      </c>
      <c r="G419" s="48">
        <f t="shared" si="87"/>
        <v>0</v>
      </c>
      <c r="H419" s="49">
        <f t="shared" si="82"/>
        <v>0</v>
      </c>
      <c r="I419" s="47">
        <f t="shared" si="93"/>
        <v>0</v>
      </c>
      <c r="J419" s="47">
        <f t="shared" si="88"/>
        <v>0</v>
      </c>
      <c r="K419" s="50">
        <f t="shared" si="89"/>
        <v>0</v>
      </c>
      <c r="L419" s="63"/>
      <c r="M419" s="67"/>
      <c r="N419" s="51">
        <f t="shared" si="83"/>
        <v>7</v>
      </c>
      <c r="O419" s="19">
        <f t="shared" si="90"/>
        <v>10</v>
      </c>
      <c r="P419" s="20">
        <f t="shared" si="84"/>
        <v>0</v>
      </c>
      <c r="Q419" s="21"/>
      <c r="R419" s="21"/>
      <c r="S419" s="21"/>
      <c r="T419" s="21"/>
      <c r="U419" s="21"/>
      <c r="V419" s="21"/>
      <c r="W419" s="21"/>
      <c r="X419" s="21"/>
      <c r="Y419" s="21"/>
      <c r="Z419" s="21"/>
    </row>
    <row r="420" spans="1:26">
      <c r="A420" s="43">
        <v>413</v>
      </c>
      <c r="B420" s="44" t="str">
        <f t="shared" si="85"/>
        <v>35-й год 5-й мес</v>
      </c>
      <c r="C420" s="45">
        <f t="shared" si="91"/>
        <v>53761</v>
      </c>
      <c r="D420" s="46">
        <f t="shared" si="81"/>
        <v>0</v>
      </c>
      <c r="E420" s="47">
        <f t="shared" si="86"/>
        <v>0</v>
      </c>
      <c r="F420" s="47">
        <f t="shared" si="92"/>
        <v>0</v>
      </c>
      <c r="G420" s="48">
        <f t="shared" si="87"/>
        <v>0</v>
      </c>
      <c r="H420" s="49">
        <f t="shared" si="82"/>
        <v>0</v>
      </c>
      <c r="I420" s="47">
        <f t="shared" si="93"/>
        <v>0</v>
      </c>
      <c r="J420" s="47">
        <f t="shared" si="88"/>
        <v>0</v>
      </c>
      <c r="K420" s="50">
        <f t="shared" si="89"/>
        <v>0</v>
      </c>
      <c r="L420" s="63"/>
      <c r="M420" s="67"/>
      <c r="N420" s="51">
        <f t="shared" si="83"/>
        <v>7</v>
      </c>
      <c r="O420" s="19">
        <f t="shared" si="90"/>
        <v>10</v>
      </c>
      <c r="P420" s="20">
        <f t="shared" si="84"/>
        <v>0</v>
      </c>
      <c r="Q420" s="21"/>
      <c r="R420" s="21"/>
      <c r="S420" s="21"/>
      <c r="T420" s="21"/>
      <c r="U420" s="21"/>
      <c r="V420" s="21"/>
      <c r="W420" s="21"/>
      <c r="X420" s="21"/>
      <c r="Y420" s="21"/>
      <c r="Z420" s="21"/>
    </row>
    <row r="421" spans="1:26">
      <c r="A421" s="43">
        <v>414</v>
      </c>
      <c r="B421" s="44" t="str">
        <f t="shared" si="85"/>
        <v>35-й год 6-й мес</v>
      </c>
      <c r="C421" s="45">
        <f t="shared" si="91"/>
        <v>53792</v>
      </c>
      <c r="D421" s="46">
        <f t="shared" si="81"/>
        <v>0</v>
      </c>
      <c r="E421" s="47">
        <f t="shared" si="86"/>
        <v>0</v>
      </c>
      <c r="F421" s="47">
        <f t="shared" si="92"/>
        <v>0</v>
      </c>
      <c r="G421" s="48">
        <f t="shared" si="87"/>
        <v>0</v>
      </c>
      <c r="H421" s="49">
        <f t="shared" si="82"/>
        <v>0</v>
      </c>
      <c r="I421" s="47">
        <f t="shared" si="93"/>
        <v>0</v>
      </c>
      <c r="J421" s="47">
        <f t="shared" si="88"/>
        <v>0</v>
      </c>
      <c r="K421" s="50">
        <f t="shared" si="89"/>
        <v>0</v>
      </c>
      <c r="L421" s="63"/>
      <c r="M421" s="67"/>
      <c r="N421" s="51">
        <f t="shared" si="83"/>
        <v>7</v>
      </c>
      <c r="O421" s="19">
        <f t="shared" si="90"/>
        <v>10</v>
      </c>
      <c r="P421" s="20">
        <f t="shared" si="84"/>
        <v>0</v>
      </c>
      <c r="Q421" s="21"/>
      <c r="R421" s="21"/>
      <c r="S421" s="21"/>
      <c r="T421" s="21"/>
      <c r="U421" s="21"/>
      <c r="V421" s="21"/>
      <c r="W421" s="21"/>
      <c r="X421" s="21"/>
      <c r="Y421" s="21"/>
      <c r="Z421" s="21"/>
    </row>
    <row r="422" spans="1:26">
      <c r="A422" s="43">
        <v>415</v>
      </c>
      <c r="B422" s="44" t="str">
        <f t="shared" si="85"/>
        <v>35-й год 7-й мес</v>
      </c>
      <c r="C422" s="45">
        <f t="shared" si="91"/>
        <v>53822</v>
      </c>
      <c r="D422" s="46">
        <f t="shared" si="81"/>
        <v>0</v>
      </c>
      <c r="E422" s="47">
        <f t="shared" si="86"/>
        <v>0</v>
      </c>
      <c r="F422" s="47">
        <f t="shared" si="92"/>
        <v>0</v>
      </c>
      <c r="G422" s="48">
        <f t="shared" si="87"/>
        <v>0</v>
      </c>
      <c r="H422" s="49">
        <f t="shared" si="82"/>
        <v>0</v>
      </c>
      <c r="I422" s="47">
        <f t="shared" si="93"/>
        <v>0</v>
      </c>
      <c r="J422" s="47">
        <f t="shared" si="88"/>
        <v>0</v>
      </c>
      <c r="K422" s="50">
        <f t="shared" si="89"/>
        <v>0</v>
      </c>
      <c r="L422" s="63"/>
      <c r="M422" s="67"/>
      <c r="N422" s="51">
        <f t="shared" si="83"/>
        <v>7</v>
      </c>
      <c r="O422" s="19">
        <f t="shared" si="90"/>
        <v>10</v>
      </c>
      <c r="P422" s="20">
        <f t="shared" si="84"/>
        <v>0</v>
      </c>
      <c r="Q422" s="21"/>
      <c r="R422" s="21"/>
      <c r="S422" s="21"/>
      <c r="T422" s="21"/>
      <c r="U422" s="21"/>
      <c r="V422" s="21"/>
      <c r="W422" s="21"/>
      <c r="X422" s="21"/>
      <c r="Y422" s="21"/>
      <c r="Z422" s="21"/>
    </row>
    <row r="423" spans="1:26">
      <c r="A423" s="43">
        <v>416</v>
      </c>
      <c r="B423" s="44" t="str">
        <f t="shared" si="85"/>
        <v>35-й год 8-й мес</v>
      </c>
      <c r="C423" s="45">
        <f t="shared" si="91"/>
        <v>53853</v>
      </c>
      <c r="D423" s="46">
        <f t="shared" si="81"/>
        <v>0</v>
      </c>
      <c r="E423" s="47">
        <f t="shared" si="86"/>
        <v>0</v>
      </c>
      <c r="F423" s="47">
        <f t="shared" si="92"/>
        <v>0</v>
      </c>
      <c r="G423" s="48">
        <f t="shared" si="87"/>
        <v>0</v>
      </c>
      <c r="H423" s="49">
        <f t="shared" si="82"/>
        <v>0</v>
      </c>
      <c r="I423" s="47">
        <f t="shared" si="93"/>
        <v>0</v>
      </c>
      <c r="J423" s="47">
        <f t="shared" si="88"/>
        <v>0</v>
      </c>
      <c r="K423" s="50">
        <f t="shared" si="89"/>
        <v>0</v>
      </c>
      <c r="L423" s="63"/>
      <c r="M423" s="67"/>
      <c r="N423" s="51">
        <f t="shared" si="83"/>
        <v>7</v>
      </c>
      <c r="O423" s="19">
        <f t="shared" si="90"/>
        <v>10</v>
      </c>
      <c r="P423" s="20">
        <f t="shared" si="84"/>
        <v>0</v>
      </c>
      <c r="Q423" s="21"/>
      <c r="R423" s="21"/>
      <c r="S423" s="21"/>
      <c r="T423" s="21"/>
      <c r="U423" s="21"/>
      <c r="V423" s="21"/>
      <c r="W423" s="21"/>
      <c r="X423" s="21"/>
      <c r="Y423" s="21"/>
      <c r="Z423" s="21"/>
    </row>
    <row r="424" spans="1:26">
      <c r="A424" s="43">
        <v>417</v>
      </c>
      <c r="B424" s="44" t="str">
        <f t="shared" si="85"/>
        <v>35-й год 9-й мес</v>
      </c>
      <c r="C424" s="45">
        <f t="shared" si="91"/>
        <v>53883</v>
      </c>
      <c r="D424" s="46">
        <f t="shared" si="81"/>
        <v>0</v>
      </c>
      <c r="E424" s="47">
        <f t="shared" si="86"/>
        <v>0</v>
      </c>
      <c r="F424" s="47">
        <f t="shared" si="92"/>
        <v>0</v>
      </c>
      <c r="G424" s="48">
        <f t="shared" si="87"/>
        <v>0</v>
      </c>
      <c r="H424" s="49">
        <f t="shared" si="82"/>
        <v>0</v>
      </c>
      <c r="I424" s="47">
        <f t="shared" si="93"/>
        <v>0</v>
      </c>
      <c r="J424" s="47">
        <f t="shared" si="88"/>
        <v>0</v>
      </c>
      <c r="K424" s="50">
        <f t="shared" si="89"/>
        <v>0</v>
      </c>
      <c r="L424" s="63"/>
      <c r="M424" s="67"/>
      <c r="N424" s="51">
        <f t="shared" si="83"/>
        <v>7</v>
      </c>
      <c r="O424" s="19">
        <f t="shared" si="90"/>
        <v>10</v>
      </c>
      <c r="P424" s="20">
        <f t="shared" si="84"/>
        <v>0</v>
      </c>
      <c r="Q424" s="21"/>
      <c r="R424" s="21"/>
      <c r="S424" s="21"/>
      <c r="T424" s="21"/>
      <c r="U424" s="21"/>
      <c r="V424" s="21"/>
      <c r="W424" s="21"/>
      <c r="X424" s="21"/>
      <c r="Y424" s="21"/>
      <c r="Z424" s="21"/>
    </row>
    <row r="425" spans="1:26">
      <c r="A425" s="43">
        <v>418</v>
      </c>
      <c r="B425" s="44" t="str">
        <f t="shared" si="85"/>
        <v>35-й год 10-й мес</v>
      </c>
      <c r="C425" s="45">
        <f t="shared" si="91"/>
        <v>53914</v>
      </c>
      <c r="D425" s="46">
        <f t="shared" si="81"/>
        <v>0</v>
      </c>
      <c r="E425" s="47">
        <f t="shared" si="86"/>
        <v>0</v>
      </c>
      <c r="F425" s="47">
        <f t="shared" si="92"/>
        <v>0</v>
      </c>
      <c r="G425" s="48">
        <f t="shared" si="87"/>
        <v>0</v>
      </c>
      <c r="H425" s="49">
        <f t="shared" si="82"/>
        <v>0</v>
      </c>
      <c r="I425" s="47">
        <f t="shared" si="93"/>
        <v>0</v>
      </c>
      <c r="J425" s="47">
        <f t="shared" si="88"/>
        <v>0</v>
      </c>
      <c r="K425" s="50">
        <f t="shared" si="89"/>
        <v>0</v>
      </c>
      <c r="L425" s="63"/>
      <c r="M425" s="67"/>
      <c r="N425" s="51">
        <f t="shared" si="83"/>
        <v>7</v>
      </c>
      <c r="O425" s="19">
        <f t="shared" si="90"/>
        <v>10</v>
      </c>
      <c r="P425" s="20">
        <f t="shared" si="84"/>
        <v>0</v>
      </c>
      <c r="Q425" s="21"/>
      <c r="R425" s="21"/>
      <c r="S425" s="21"/>
      <c r="T425" s="21"/>
      <c r="U425" s="21"/>
      <c r="V425" s="21"/>
      <c r="W425" s="21"/>
      <c r="X425" s="21"/>
      <c r="Y425" s="21"/>
      <c r="Z425" s="21"/>
    </row>
    <row r="426" spans="1:26">
      <c r="A426" s="43">
        <v>419</v>
      </c>
      <c r="B426" s="44" t="str">
        <f t="shared" si="85"/>
        <v>35-й год 11-й мес</v>
      </c>
      <c r="C426" s="45">
        <f t="shared" si="91"/>
        <v>53945</v>
      </c>
      <c r="D426" s="46">
        <f t="shared" si="81"/>
        <v>0</v>
      </c>
      <c r="E426" s="47">
        <f t="shared" si="86"/>
        <v>0</v>
      </c>
      <c r="F426" s="47">
        <f t="shared" si="92"/>
        <v>0</v>
      </c>
      <c r="G426" s="48">
        <f t="shared" si="87"/>
        <v>0</v>
      </c>
      <c r="H426" s="49">
        <f t="shared" si="82"/>
        <v>0</v>
      </c>
      <c r="I426" s="47">
        <f t="shared" si="93"/>
        <v>0</v>
      </c>
      <c r="J426" s="47">
        <f t="shared" si="88"/>
        <v>0</v>
      </c>
      <c r="K426" s="50">
        <f t="shared" si="89"/>
        <v>0</v>
      </c>
      <c r="L426" s="63"/>
      <c r="M426" s="67"/>
      <c r="N426" s="51">
        <f t="shared" si="83"/>
        <v>7</v>
      </c>
      <c r="O426" s="19">
        <f t="shared" si="90"/>
        <v>10</v>
      </c>
      <c r="P426" s="20">
        <f t="shared" si="84"/>
        <v>0</v>
      </c>
      <c r="Q426" s="21"/>
      <c r="R426" s="21"/>
      <c r="S426" s="21"/>
      <c r="T426" s="21"/>
      <c r="U426" s="21"/>
      <c r="V426" s="21"/>
      <c r="W426" s="21"/>
      <c r="X426" s="21"/>
      <c r="Y426" s="21"/>
      <c r="Z426" s="21"/>
    </row>
    <row r="427" spans="1:26">
      <c r="A427" s="43">
        <v>420</v>
      </c>
      <c r="B427" s="44" t="str">
        <f t="shared" si="85"/>
        <v>35-й год 12-й мес</v>
      </c>
      <c r="C427" s="45">
        <f t="shared" si="91"/>
        <v>53975</v>
      </c>
      <c r="D427" s="46">
        <f t="shared" si="81"/>
        <v>0</v>
      </c>
      <c r="E427" s="47">
        <f t="shared" si="86"/>
        <v>0</v>
      </c>
      <c r="F427" s="47">
        <f t="shared" si="92"/>
        <v>0</v>
      </c>
      <c r="G427" s="48">
        <f t="shared" si="87"/>
        <v>0</v>
      </c>
      <c r="H427" s="49">
        <f t="shared" si="82"/>
        <v>0</v>
      </c>
      <c r="I427" s="47">
        <f t="shared" si="93"/>
        <v>0</v>
      </c>
      <c r="J427" s="47">
        <f t="shared" si="88"/>
        <v>0</v>
      </c>
      <c r="K427" s="50">
        <f t="shared" si="89"/>
        <v>0</v>
      </c>
      <c r="L427" s="63"/>
      <c r="M427" s="67"/>
      <c r="N427" s="51">
        <f t="shared" si="83"/>
        <v>7</v>
      </c>
      <c r="O427" s="19">
        <f t="shared" si="90"/>
        <v>10</v>
      </c>
      <c r="P427" s="20">
        <f t="shared" si="84"/>
        <v>0</v>
      </c>
      <c r="Q427" s="21"/>
      <c r="R427" s="21"/>
      <c r="S427" s="21"/>
      <c r="T427" s="21"/>
      <c r="U427" s="21"/>
      <c r="V427" s="21"/>
      <c r="W427" s="21"/>
      <c r="X427" s="21"/>
      <c r="Y427" s="21"/>
      <c r="Z427" s="21"/>
    </row>
    <row r="428" spans="1:26">
      <c r="A428" s="52">
        <v>421</v>
      </c>
      <c r="B428" s="44" t="str">
        <f t="shared" si="85"/>
        <v>36-й год 1-й мес</v>
      </c>
      <c r="C428" s="45">
        <f t="shared" si="91"/>
        <v>54006</v>
      </c>
      <c r="D428" s="46">
        <f t="shared" si="81"/>
        <v>0</v>
      </c>
      <c r="E428" s="53">
        <f t="shared" si="86"/>
        <v>0</v>
      </c>
      <c r="F428" s="47">
        <f t="shared" si="92"/>
        <v>0</v>
      </c>
      <c r="G428" s="54">
        <f t="shared" si="87"/>
        <v>0</v>
      </c>
      <c r="H428" s="55">
        <f t="shared" si="82"/>
        <v>0</v>
      </c>
      <c r="I428" s="53">
        <f t="shared" si="93"/>
        <v>0</v>
      </c>
      <c r="J428" s="53">
        <f t="shared" si="88"/>
        <v>0</v>
      </c>
      <c r="K428" s="56">
        <f t="shared" si="89"/>
        <v>0</v>
      </c>
      <c r="L428" s="65"/>
      <c r="M428" s="64"/>
      <c r="N428" s="51">
        <f t="shared" si="83"/>
        <v>7</v>
      </c>
      <c r="O428" s="19">
        <f t="shared" si="90"/>
        <v>10</v>
      </c>
      <c r="P428" s="20">
        <f t="shared" si="84"/>
        <v>0</v>
      </c>
      <c r="Q428" s="21"/>
      <c r="R428" s="21"/>
      <c r="S428" s="21"/>
      <c r="T428" s="21"/>
      <c r="U428" s="21"/>
      <c r="V428" s="21"/>
      <c r="W428" s="21"/>
      <c r="X428" s="21"/>
      <c r="Y428" s="21"/>
      <c r="Z428" s="21"/>
    </row>
    <row r="429" spans="1:26">
      <c r="A429" s="57">
        <v>422</v>
      </c>
      <c r="B429" s="44" t="str">
        <f t="shared" si="85"/>
        <v>36-й год 2-й мес</v>
      </c>
      <c r="C429" s="45">
        <f t="shared" si="91"/>
        <v>54036</v>
      </c>
      <c r="D429" s="46">
        <f t="shared" si="81"/>
        <v>0</v>
      </c>
      <c r="E429" s="47">
        <f t="shared" si="86"/>
        <v>0</v>
      </c>
      <c r="F429" s="47">
        <f t="shared" si="92"/>
        <v>0</v>
      </c>
      <c r="G429" s="48">
        <f t="shared" si="87"/>
        <v>0</v>
      </c>
      <c r="H429" s="49">
        <f t="shared" si="82"/>
        <v>0</v>
      </c>
      <c r="I429" s="47">
        <f t="shared" si="93"/>
        <v>0</v>
      </c>
      <c r="J429" s="47">
        <f t="shared" si="88"/>
        <v>0</v>
      </c>
      <c r="K429" s="50">
        <f t="shared" si="89"/>
        <v>0</v>
      </c>
      <c r="L429" s="63"/>
      <c r="M429" s="67"/>
      <c r="N429" s="51">
        <f t="shared" si="83"/>
        <v>7</v>
      </c>
      <c r="O429" s="19">
        <f t="shared" si="90"/>
        <v>10</v>
      </c>
      <c r="P429" s="20">
        <f t="shared" si="84"/>
        <v>0</v>
      </c>
      <c r="Q429" s="21"/>
      <c r="R429" s="21"/>
      <c r="S429" s="21"/>
      <c r="T429" s="21"/>
      <c r="U429" s="21"/>
      <c r="V429" s="21"/>
      <c r="W429" s="21"/>
      <c r="X429" s="21"/>
      <c r="Y429" s="21"/>
      <c r="Z429" s="21"/>
    </row>
    <row r="430" spans="1:26">
      <c r="A430" s="57">
        <v>423</v>
      </c>
      <c r="B430" s="44" t="str">
        <f t="shared" si="85"/>
        <v>36-й год 3-й мес</v>
      </c>
      <c r="C430" s="45">
        <f t="shared" si="91"/>
        <v>54067</v>
      </c>
      <c r="D430" s="46">
        <f t="shared" si="81"/>
        <v>0</v>
      </c>
      <c r="E430" s="47">
        <f t="shared" si="86"/>
        <v>0</v>
      </c>
      <c r="F430" s="47">
        <f t="shared" si="92"/>
        <v>0</v>
      </c>
      <c r="G430" s="48">
        <f t="shared" si="87"/>
        <v>0</v>
      </c>
      <c r="H430" s="49">
        <f t="shared" si="82"/>
        <v>0</v>
      </c>
      <c r="I430" s="47">
        <f t="shared" si="93"/>
        <v>0</v>
      </c>
      <c r="J430" s="47">
        <f t="shared" si="88"/>
        <v>0</v>
      </c>
      <c r="K430" s="50">
        <f t="shared" si="89"/>
        <v>0</v>
      </c>
      <c r="L430" s="63"/>
      <c r="M430" s="67"/>
      <c r="N430" s="51">
        <f t="shared" si="83"/>
        <v>7</v>
      </c>
      <c r="O430" s="19">
        <f t="shared" si="90"/>
        <v>10</v>
      </c>
      <c r="P430" s="20">
        <f t="shared" si="84"/>
        <v>0</v>
      </c>
      <c r="Q430" s="21"/>
      <c r="R430" s="21"/>
      <c r="S430" s="21"/>
      <c r="T430" s="21"/>
      <c r="U430" s="21"/>
      <c r="V430" s="21"/>
      <c r="W430" s="21"/>
      <c r="X430" s="21"/>
      <c r="Y430" s="21"/>
      <c r="Z430" s="21"/>
    </row>
    <row r="431" spans="1:26">
      <c r="A431" s="57">
        <v>424</v>
      </c>
      <c r="B431" s="44" t="str">
        <f t="shared" si="85"/>
        <v>36-й год 4-й мес</v>
      </c>
      <c r="C431" s="45">
        <f t="shared" si="91"/>
        <v>54098</v>
      </c>
      <c r="D431" s="46">
        <f t="shared" si="81"/>
        <v>0</v>
      </c>
      <c r="E431" s="47">
        <f t="shared" si="86"/>
        <v>0</v>
      </c>
      <c r="F431" s="47">
        <f t="shared" si="92"/>
        <v>0</v>
      </c>
      <c r="G431" s="48">
        <f t="shared" si="87"/>
        <v>0</v>
      </c>
      <c r="H431" s="49">
        <f t="shared" si="82"/>
        <v>0</v>
      </c>
      <c r="I431" s="47">
        <f t="shared" si="93"/>
        <v>0</v>
      </c>
      <c r="J431" s="47">
        <f t="shared" si="88"/>
        <v>0</v>
      </c>
      <c r="K431" s="50">
        <f t="shared" si="89"/>
        <v>0</v>
      </c>
      <c r="L431" s="63"/>
      <c r="M431" s="67"/>
      <c r="N431" s="51">
        <f t="shared" si="83"/>
        <v>7</v>
      </c>
      <c r="O431" s="19">
        <f t="shared" si="90"/>
        <v>10</v>
      </c>
      <c r="P431" s="20">
        <f t="shared" si="84"/>
        <v>0</v>
      </c>
      <c r="Q431" s="21"/>
      <c r="R431" s="21"/>
      <c r="S431" s="21"/>
      <c r="T431" s="21"/>
      <c r="U431" s="21"/>
      <c r="V431" s="21"/>
      <c r="W431" s="21"/>
      <c r="X431" s="21"/>
      <c r="Y431" s="21"/>
      <c r="Z431" s="21"/>
    </row>
    <row r="432" spans="1:26">
      <c r="A432" s="57">
        <v>425</v>
      </c>
      <c r="B432" s="44" t="str">
        <f t="shared" si="85"/>
        <v>36-й год 5-й мес</v>
      </c>
      <c r="C432" s="45">
        <f t="shared" si="91"/>
        <v>54127</v>
      </c>
      <c r="D432" s="46">
        <f t="shared" si="81"/>
        <v>0</v>
      </c>
      <c r="E432" s="47">
        <f t="shared" si="86"/>
        <v>0</v>
      </c>
      <c r="F432" s="47">
        <f t="shared" si="92"/>
        <v>0</v>
      </c>
      <c r="G432" s="48">
        <f t="shared" si="87"/>
        <v>0</v>
      </c>
      <c r="H432" s="49">
        <f t="shared" si="82"/>
        <v>0</v>
      </c>
      <c r="I432" s="47">
        <f t="shared" si="93"/>
        <v>0</v>
      </c>
      <c r="J432" s="47">
        <f t="shared" si="88"/>
        <v>0</v>
      </c>
      <c r="K432" s="50">
        <f t="shared" si="89"/>
        <v>0</v>
      </c>
      <c r="L432" s="63"/>
      <c r="M432" s="67"/>
      <c r="N432" s="51">
        <f t="shared" si="83"/>
        <v>7</v>
      </c>
      <c r="O432" s="19">
        <f t="shared" si="90"/>
        <v>10</v>
      </c>
      <c r="P432" s="20">
        <f t="shared" si="84"/>
        <v>0</v>
      </c>
      <c r="Q432" s="21"/>
      <c r="R432" s="21"/>
      <c r="S432" s="21"/>
      <c r="T432" s="21"/>
      <c r="U432" s="21"/>
      <c r="V432" s="21"/>
      <c r="W432" s="21"/>
      <c r="X432" s="21"/>
      <c r="Y432" s="21"/>
      <c r="Z432" s="21"/>
    </row>
    <row r="433" spans="1:26">
      <c r="A433" s="57">
        <v>426</v>
      </c>
      <c r="B433" s="44" t="str">
        <f t="shared" si="85"/>
        <v>36-й год 6-й мес</v>
      </c>
      <c r="C433" s="45">
        <f t="shared" si="91"/>
        <v>54158</v>
      </c>
      <c r="D433" s="46">
        <f t="shared" si="81"/>
        <v>0</v>
      </c>
      <c r="E433" s="47">
        <f t="shared" si="86"/>
        <v>0</v>
      </c>
      <c r="F433" s="47">
        <f t="shared" si="92"/>
        <v>0</v>
      </c>
      <c r="G433" s="48">
        <f t="shared" si="87"/>
        <v>0</v>
      </c>
      <c r="H433" s="49">
        <f t="shared" si="82"/>
        <v>0</v>
      </c>
      <c r="I433" s="47">
        <f t="shared" si="93"/>
        <v>0</v>
      </c>
      <c r="J433" s="47">
        <f t="shared" si="88"/>
        <v>0</v>
      </c>
      <c r="K433" s="50">
        <f t="shared" si="89"/>
        <v>0</v>
      </c>
      <c r="L433" s="63"/>
      <c r="M433" s="67"/>
      <c r="N433" s="51">
        <f t="shared" si="83"/>
        <v>7</v>
      </c>
      <c r="O433" s="19">
        <f t="shared" si="90"/>
        <v>10</v>
      </c>
      <c r="P433" s="20">
        <f t="shared" si="84"/>
        <v>0</v>
      </c>
      <c r="Q433" s="21"/>
      <c r="R433" s="21"/>
      <c r="S433" s="21"/>
      <c r="T433" s="21"/>
      <c r="U433" s="21"/>
      <c r="V433" s="21"/>
      <c r="W433" s="21"/>
      <c r="X433" s="21"/>
      <c r="Y433" s="21"/>
      <c r="Z433" s="21"/>
    </row>
    <row r="434" spans="1:26">
      <c r="A434" s="57">
        <v>427</v>
      </c>
      <c r="B434" s="44" t="str">
        <f t="shared" si="85"/>
        <v>36-й год 7-й мес</v>
      </c>
      <c r="C434" s="45">
        <f t="shared" si="91"/>
        <v>54188</v>
      </c>
      <c r="D434" s="46">
        <f t="shared" si="81"/>
        <v>0</v>
      </c>
      <c r="E434" s="47">
        <f t="shared" si="86"/>
        <v>0</v>
      </c>
      <c r="F434" s="47">
        <f t="shared" si="92"/>
        <v>0</v>
      </c>
      <c r="G434" s="48">
        <f t="shared" si="87"/>
        <v>0</v>
      </c>
      <c r="H434" s="49">
        <f t="shared" si="82"/>
        <v>0</v>
      </c>
      <c r="I434" s="47">
        <f t="shared" si="93"/>
        <v>0</v>
      </c>
      <c r="J434" s="47">
        <f t="shared" si="88"/>
        <v>0</v>
      </c>
      <c r="K434" s="50">
        <f t="shared" si="89"/>
        <v>0</v>
      </c>
      <c r="L434" s="63"/>
      <c r="M434" s="67"/>
      <c r="N434" s="51">
        <f t="shared" si="83"/>
        <v>7</v>
      </c>
      <c r="O434" s="19">
        <f t="shared" si="90"/>
        <v>10</v>
      </c>
      <c r="P434" s="20">
        <f t="shared" si="84"/>
        <v>0</v>
      </c>
      <c r="Q434" s="21"/>
      <c r="R434" s="21"/>
      <c r="S434" s="21"/>
      <c r="T434" s="21"/>
      <c r="U434" s="21"/>
      <c r="V434" s="21"/>
      <c r="W434" s="21"/>
      <c r="X434" s="21"/>
      <c r="Y434" s="21"/>
      <c r="Z434" s="21"/>
    </row>
    <row r="435" spans="1:26">
      <c r="A435" s="57">
        <v>428</v>
      </c>
      <c r="B435" s="44" t="str">
        <f t="shared" si="85"/>
        <v>36-й год 8-й мес</v>
      </c>
      <c r="C435" s="45">
        <f t="shared" si="91"/>
        <v>54219</v>
      </c>
      <c r="D435" s="46">
        <f t="shared" si="81"/>
        <v>0</v>
      </c>
      <c r="E435" s="47">
        <f t="shared" si="86"/>
        <v>0</v>
      </c>
      <c r="F435" s="47">
        <f t="shared" si="92"/>
        <v>0</v>
      </c>
      <c r="G435" s="48">
        <f t="shared" si="87"/>
        <v>0</v>
      </c>
      <c r="H435" s="49">
        <f t="shared" si="82"/>
        <v>0</v>
      </c>
      <c r="I435" s="47">
        <f t="shared" si="93"/>
        <v>0</v>
      </c>
      <c r="J435" s="47">
        <f t="shared" si="88"/>
        <v>0</v>
      </c>
      <c r="K435" s="50">
        <f t="shared" si="89"/>
        <v>0</v>
      </c>
      <c r="L435" s="63"/>
      <c r="M435" s="67"/>
      <c r="N435" s="51">
        <f t="shared" si="83"/>
        <v>7</v>
      </c>
      <c r="O435" s="19">
        <f t="shared" si="90"/>
        <v>10</v>
      </c>
      <c r="P435" s="20">
        <f t="shared" si="84"/>
        <v>0</v>
      </c>
      <c r="Q435" s="21"/>
      <c r="R435" s="21"/>
      <c r="S435" s="21"/>
      <c r="T435" s="21"/>
      <c r="U435" s="21"/>
      <c r="V435" s="21"/>
      <c r="W435" s="21"/>
      <c r="X435" s="21"/>
      <c r="Y435" s="21"/>
      <c r="Z435" s="21"/>
    </row>
    <row r="436" spans="1:26">
      <c r="A436" s="57">
        <v>429</v>
      </c>
      <c r="B436" s="44" t="str">
        <f t="shared" si="85"/>
        <v>36-й год 9-й мес</v>
      </c>
      <c r="C436" s="45">
        <f t="shared" si="91"/>
        <v>54249</v>
      </c>
      <c r="D436" s="46">
        <f t="shared" si="81"/>
        <v>0</v>
      </c>
      <c r="E436" s="47">
        <f t="shared" si="86"/>
        <v>0</v>
      </c>
      <c r="F436" s="47">
        <f t="shared" si="92"/>
        <v>0</v>
      </c>
      <c r="G436" s="48">
        <f t="shared" si="87"/>
        <v>0</v>
      </c>
      <c r="H436" s="49">
        <f t="shared" si="82"/>
        <v>0</v>
      </c>
      <c r="I436" s="47">
        <f t="shared" si="93"/>
        <v>0</v>
      </c>
      <c r="J436" s="47">
        <f t="shared" si="88"/>
        <v>0</v>
      </c>
      <c r="K436" s="50">
        <f t="shared" si="89"/>
        <v>0</v>
      </c>
      <c r="L436" s="63"/>
      <c r="M436" s="67"/>
      <c r="N436" s="51">
        <f t="shared" si="83"/>
        <v>7</v>
      </c>
      <c r="O436" s="19">
        <f t="shared" si="90"/>
        <v>10</v>
      </c>
      <c r="P436" s="20">
        <f t="shared" si="84"/>
        <v>0</v>
      </c>
      <c r="Q436" s="21"/>
      <c r="R436" s="21"/>
      <c r="S436" s="21"/>
      <c r="T436" s="21"/>
      <c r="U436" s="21"/>
      <c r="V436" s="21"/>
      <c r="W436" s="21"/>
      <c r="X436" s="21"/>
      <c r="Y436" s="21"/>
      <c r="Z436" s="21"/>
    </row>
    <row r="437" spans="1:26">
      <c r="A437" s="57">
        <v>430</v>
      </c>
      <c r="B437" s="44" t="str">
        <f t="shared" si="85"/>
        <v>36-й год 10-й мес</v>
      </c>
      <c r="C437" s="45">
        <f t="shared" si="91"/>
        <v>54280</v>
      </c>
      <c r="D437" s="46">
        <f t="shared" si="81"/>
        <v>0</v>
      </c>
      <c r="E437" s="47">
        <f t="shared" si="86"/>
        <v>0</v>
      </c>
      <c r="F437" s="47">
        <f t="shared" si="92"/>
        <v>0</v>
      </c>
      <c r="G437" s="48">
        <f t="shared" si="87"/>
        <v>0</v>
      </c>
      <c r="H437" s="49">
        <f t="shared" si="82"/>
        <v>0</v>
      </c>
      <c r="I437" s="47">
        <f t="shared" si="93"/>
        <v>0</v>
      </c>
      <c r="J437" s="47">
        <f t="shared" si="88"/>
        <v>0</v>
      </c>
      <c r="K437" s="50">
        <f t="shared" si="89"/>
        <v>0</v>
      </c>
      <c r="L437" s="63"/>
      <c r="M437" s="67"/>
      <c r="N437" s="51">
        <f t="shared" si="83"/>
        <v>7</v>
      </c>
      <c r="O437" s="19">
        <f t="shared" si="90"/>
        <v>10</v>
      </c>
      <c r="P437" s="20">
        <f t="shared" si="84"/>
        <v>0</v>
      </c>
      <c r="Q437" s="21"/>
      <c r="R437" s="21"/>
      <c r="S437" s="21"/>
      <c r="T437" s="21"/>
      <c r="U437" s="21"/>
      <c r="V437" s="21"/>
      <c r="W437" s="21"/>
      <c r="X437" s="21"/>
      <c r="Y437" s="21"/>
      <c r="Z437" s="21"/>
    </row>
    <row r="438" spans="1:26">
      <c r="A438" s="57">
        <v>431</v>
      </c>
      <c r="B438" s="44" t="str">
        <f t="shared" si="85"/>
        <v>36-й год 11-й мес</v>
      </c>
      <c r="C438" s="45">
        <f t="shared" si="91"/>
        <v>54311</v>
      </c>
      <c r="D438" s="46">
        <f t="shared" si="81"/>
        <v>0</v>
      </c>
      <c r="E438" s="47">
        <f t="shared" si="86"/>
        <v>0</v>
      </c>
      <c r="F438" s="47">
        <f t="shared" si="92"/>
        <v>0</v>
      </c>
      <c r="G438" s="48">
        <f t="shared" si="87"/>
        <v>0</v>
      </c>
      <c r="H438" s="49">
        <f t="shared" si="82"/>
        <v>0</v>
      </c>
      <c r="I438" s="47">
        <f t="shared" si="93"/>
        <v>0</v>
      </c>
      <c r="J438" s="47">
        <f t="shared" si="88"/>
        <v>0</v>
      </c>
      <c r="K438" s="50">
        <f t="shared" si="89"/>
        <v>0</v>
      </c>
      <c r="L438" s="63"/>
      <c r="M438" s="67"/>
      <c r="N438" s="51">
        <f t="shared" si="83"/>
        <v>7</v>
      </c>
      <c r="O438" s="19">
        <f t="shared" si="90"/>
        <v>10</v>
      </c>
      <c r="P438" s="20">
        <f t="shared" si="84"/>
        <v>0</v>
      </c>
      <c r="Q438" s="21"/>
      <c r="R438" s="21"/>
      <c r="S438" s="21"/>
      <c r="T438" s="21"/>
      <c r="U438" s="21"/>
      <c r="V438" s="21"/>
      <c r="W438" s="21"/>
      <c r="X438" s="21"/>
      <c r="Y438" s="21"/>
      <c r="Z438" s="21"/>
    </row>
    <row r="439" spans="1:26">
      <c r="A439" s="58">
        <v>432</v>
      </c>
      <c r="B439" s="44" t="str">
        <f t="shared" si="85"/>
        <v>36-й год 12-й мес</v>
      </c>
      <c r="C439" s="45">
        <f t="shared" si="91"/>
        <v>54341</v>
      </c>
      <c r="D439" s="46">
        <f t="shared" si="81"/>
        <v>0</v>
      </c>
      <c r="E439" s="59">
        <f t="shared" si="86"/>
        <v>0</v>
      </c>
      <c r="F439" s="47">
        <f t="shared" si="92"/>
        <v>0</v>
      </c>
      <c r="G439" s="60">
        <f t="shared" si="87"/>
        <v>0</v>
      </c>
      <c r="H439" s="61">
        <f t="shared" si="82"/>
        <v>0</v>
      </c>
      <c r="I439" s="59">
        <f t="shared" si="93"/>
        <v>0</v>
      </c>
      <c r="J439" s="59">
        <f t="shared" si="88"/>
        <v>0</v>
      </c>
      <c r="K439" s="62">
        <f t="shared" si="89"/>
        <v>0</v>
      </c>
      <c r="L439" s="66"/>
      <c r="M439" s="68"/>
      <c r="N439" s="51">
        <f t="shared" si="83"/>
        <v>7</v>
      </c>
      <c r="O439" s="19">
        <f t="shared" si="90"/>
        <v>10</v>
      </c>
      <c r="P439" s="20">
        <f t="shared" si="84"/>
        <v>0</v>
      </c>
      <c r="Q439" s="21"/>
      <c r="R439" s="21"/>
      <c r="S439" s="21"/>
      <c r="T439" s="21"/>
      <c r="U439" s="21"/>
      <c r="V439" s="21"/>
      <c r="W439" s="21"/>
      <c r="X439" s="21"/>
      <c r="Y439" s="21"/>
      <c r="Z439" s="21"/>
    </row>
    <row r="440" spans="1:26">
      <c r="A440" s="43">
        <v>433</v>
      </c>
      <c r="B440" s="44" t="str">
        <f t="shared" si="85"/>
        <v>37-й год 1-й мес</v>
      </c>
      <c r="C440" s="45">
        <f t="shared" si="91"/>
        <v>54372</v>
      </c>
      <c r="D440" s="46">
        <f t="shared" si="81"/>
        <v>0</v>
      </c>
      <c r="E440" s="47">
        <f t="shared" si="86"/>
        <v>0</v>
      </c>
      <c r="F440" s="47">
        <f t="shared" si="92"/>
        <v>0</v>
      </c>
      <c r="G440" s="48">
        <f t="shared" si="87"/>
        <v>0</v>
      </c>
      <c r="H440" s="49">
        <f t="shared" si="82"/>
        <v>0</v>
      </c>
      <c r="I440" s="47">
        <f t="shared" si="93"/>
        <v>0</v>
      </c>
      <c r="J440" s="47">
        <f t="shared" si="88"/>
        <v>0</v>
      </c>
      <c r="K440" s="50">
        <f t="shared" si="89"/>
        <v>0</v>
      </c>
      <c r="L440" s="63"/>
      <c r="M440" s="67"/>
      <c r="N440" s="51">
        <f t="shared" si="83"/>
        <v>7</v>
      </c>
      <c r="O440" s="19">
        <f t="shared" si="90"/>
        <v>10</v>
      </c>
      <c r="P440" s="20">
        <f t="shared" si="84"/>
        <v>0</v>
      </c>
      <c r="Q440" s="21"/>
      <c r="R440" s="21"/>
      <c r="S440" s="21"/>
      <c r="T440" s="21"/>
      <c r="U440" s="21"/>
      <c r="V440" s="21"/>
      <c r="W440" s="21"/>
      <c r="X440" s="21"/>
      <c r="Y440" s="21"/>
      <c r="Z440" s="21"/>
    </row>
    <row r="441" spans="1:26">
      <c r="A441" s="43">
        <v>434</v>
      </c>
      <c r="B441" s="44" t="str">
        <f t="shared" si="85"/>
        <v>37-й год 2-й мес</v>
      </c>
      <c r="C441" s="45">
        <f t="shared" si="91"/>
        <v>54402</v>
      </c>
      <c r="D441" s="46">
        <f t="shared" si="81"/>
        <v>0</v>
      </c>
      <c r="E441" s="47">
        <f t="shared" si="86"/>
        <v>0</v>
      </c>
      <c r="F441" s="47">
        <f t="shared" si="92"/>
        <v>0</v>
      </c>
      <c r="G441" s="48">
        <f t="shared" si="87"/>
        <v>0</v>
      </c>
      <c r="H441" s="49">
        <f t="shared" si="82"/>
        <v>0</v>
      </c>
      <c r="I441" s="47">
        <f t="shared" si="93"/>
        <v>0</v>
      </c>
      <c r="J441" s="47">
        <f t="shared" si="88"/>
        <v>0</v>
      </c>
      <c r="K441" s="50">
        <f t="shared" si="89"/>
        <v>0</v>
      </c>
      <c r="L441" s="63"/>
      <c r="M441" s="67"/>
      <c r="N441" s="51">
        <f t="shared" si="83"/>
        <v>7</v>
      </c>
      <c r="O441" s="19">
        <f t="shared" si="90"/>
        <v>10</v>
      </c>
      <c r="P441" s="20">
        <f t="shared" si="84"/>
        <v>0</v>
      </c>
      <c r="Q441" s="21"/>
      <c r="R441" s="21"/>
      <c r="S441" s="21"/>
      <c r="T441" s="21"/>
      <c r="U441" s="21"/>
      <c r="V441" s="21"/>
      <c r="W441" s="21"/>
      <c r="X441" s="21"/>
      <c r="Y441" s="21"/>
      <c r="Z441" s="21"/>
    </row>
    <row r="442" spans="1:26">
      <c r="A442" s="43">
        <v>435</v>
      </c>
      <c r="B442" s="44" t="str">
        <f t="shared" si="85"/>
        <v>37-й год 3-й мес</v>
      </c>
      <c r="C442" s="45">
        <f t="shared" si="91"/>
        <v>54433</v>
      </c>
      <c r="D442" s="46">
        <f t="shared" si="81"/>
        <v>0</v>
      </c>
      <c r="E442" s="47">
        <f t="shared" si="86"/>
        <v>0</v>
      </c>
      <c r="F442" s="47">
        <f t="shared" si="92"/>
        <v>0</v>
      </c>
      <c r="G442" s="48">
        <f t="shared" si="87"/>
        <v>0</v>
      </c>
      <c r="H442" s="49">
        <f t="shared" si="82"/>
        <v>0</v>
      </c>
      <c r="I442" s="47">
        <f t="shared" si="93"/>
        <v>0</v>
      </c>
      <c r="J442" s="47">
        <f t="shared" si="88"/>
        <v>0</v>
      </c>
      <c r="K442" s="50">
        <f t="shared" si="89"/>
        <v>0</v>
      </c>
      <c r="L442" s="63"/>
      <c r="M442" s="67"/>
      <c r="N442" s="51">
        <f t="shared" si="83"/>
        <v>7</v>
      </c>
      <c r="O442" s="19">
        <f t="shared" si="90"/>
        <v>10</v>
      </c>
      <c r="P442" s="20">
        <f t="shared" si="84"/>
        <v>0</v>
      </c>
      <c r="Q442" s="21"/>
      <c r="R442" s="21"/>
      <c r="S442" s="21"/>
      <c r="T442" s="21"/>
      <c r="U442" s="21"/>
      <c r="V442" s="21"/>
      <c r="W442" s="21"/>
      <c r="X442" s="21"/>
      <c r="Y442" s="21"/>
      <c r="Z442" s="21"/>
    </row>
    <row r="443" spans="1:26">
      <c r="A443" s="43">
        <v>436</v>
      </c>
      <c r="B443" s="44" t="str">
        <f t="shared" si="85"/>
        <v>37-й год 4-й мес</v>
      </c>
      <c r="C443" s="45">
        <f t="shared" si="91"/>
        <v>54464</v>
      </c>
      <c r="D443" s="46">
        <f t="shared" si="81"/>
        <v>0</v>
      </c>
      <c r="E443" s="47">
        <f t="shared" si="86"/>
        <v>0</v>
      </c>
      <c r="F443" s="47">
        <f t="shared" si="92"/>
        <v>0</v>
      </c>
      <c r="G443" s="48">
        <f t="shared" si="87"/>
        <v>0</v>
      </c>
      <c r="H443" s="49">
        <f t="shared" si="82"/>
        <v>0</v>
      </c>
      <c r="I443" s="47">
        <f t="shared" si="93"/>
        <v>0</v>
      </c>
      <c r="J443" s="47">
        <f t="shared" si="88"/>
        <v>0</v>
      </c>
      <c r="K443" s="50">
        <f t="shared" si="89"/>
        <v>0</v>
      </c>
      <c r="L443" s="63"/>
      <c r="M443" s="67"/>
      <c r="N443" s="51">
        <f t="shared" si="83"/>
        <v>7</v>
      </c>
      <c r="O443" s="19">
        <f t="shared" si="90"/>
        <v>10</v>
      </c>
      <c r="P443" s="20">
        <f t="shared" si="84"/>
        <v>0</v>
      </c>
      <c r="Q443" s="21"/>
      <c r="R443" s="21"/>
      <c r="S443" s="21"/>
      <c r="T443" s="21"/>
      <c r="U443" s="21"/>
      <c r="V443" s="21"/>
      <c r="W443" s="21"/>
      <c r="X443" s="21"/>
      <c r="Y443" s="21"/>
      <c r="Z443" s="21"/>
    </row>
    <row r="444" spans="1:26">
      <c r="A444" s="43">
        <v>437</v>
      </c>
      <c r="B444" s="44" t="str">
        <f t="shared" si="85"/>
        <v>37-й год 5-й мес</v>
      </c>
      <c r="C444" s="45">
        <f t="shared" si="91"/>
        <v>54492</v>
      </c>
      <c r="D444" s="46">
        <f t="shared" si="81"/>
        <v>0</v>
      </c>
      <c r="E444" s="47">
        <f t="shared" si="86"/>
        <v>0</v>
      </c>
      <c r="F444" s="47">
        <f t="shared" si="92"/>
        <v>0</v>
      </c>
      <c r="G444" s="48">
        <f t="shared" si="87"/>
        <v>0</v>
      </c>
      <c r="H444" s="49">
        <f t="shared" si="82"/>
        <v>0</v>
      </c>
      <c r="I444" s="47">
        <f t="shared" si="93"/>
        <v>0</v>
      </c>
      <c r="J444" s="47">
        <f t="shared" si="88"/>
        <v>0</v>
      </c>
      <c r="K444" s="50">
        <f t="shared" si="89"/>
        <v>0</v>
      </c>
      <c r="L444" s="63"/>
      <c r="M444" s="67"/>
      <c r="N444" s="51">
        <f t="shared" si="83"/>
        <v>7</v>
      </c>
      <c r="O444" s="19">
        <f t="shared" si="90"/>
        <v>10</v>
      </c>
      <c r="P444" s="20">
        <f t="shared" si="84"/>
        <v>0</v>
      </c>
      <c r="Q444" s="21"/>
      <c r="R444" s="21"/>
      <c r="S444" s="21"/>
      <c r="T444" s="21"/>
      <c r="U444" s="21"/>
      <c r="V444" s="21"/>
      <c r="W444" s="21"/>
      <c r="X444" s="21"/>
      <c r="Y444" s="21"/>
      <c r="Z444" s="21"/>
    </row>
    <row r="445" spans="1:26">
      <c r="A445" s="43">
        <v>438</v>
      </c>
      <c r="B445" s="44" t="str">
        <f t="shared" si="85"/>
        <v>37-й год 6-й мес</v>
      </c>
      <c r="C445" s="45">
        <f t="shared" si="91"/>
        <v>54523</v>
      </c>
      <c r="D445" s="46">
        <f t="shared" si="81"/>
        <v>0</v>
      </c>
      <c r="E445" s="47">
        <f t="shared" si="86"/>
        <v>0</v>
      </c>
      <c r="F445" s="47">
        <f t="shared" si="92"/>
        <v>0</v>
      </c>
      <c r="G445" s="48">
        <f t="shared" si="87"/>
        <v>0</v>
      </c>
      <c r="H445" s="49">
        <f t="shared" si="82"/>
        <v>0</v>
      </c>
      <c r="I445" s="47">
        <f t="shared" si="93"/>
        <v>0</v>
      </c>
      <c r="J445" s="47">
        <f t="shared" si="88"/>
        <v>0</v>
      </c>
      <c r="K445" s="50">
        <f t="shared" si="89"/>
        <v>0</v>
      </c>
      <c r="L445" s="63"/>
      <c r="M445" s="67"/>
      <c r="N445" s="51">
        <f t="shared" si="83"/>
        <v>7</v>
      </c>
      <c r="O445" s="19">
        <f t="shared" si="90"/>
        <v>10</v>
      </c>
      <c r="P445" s="20">
        <f t="shared" si="84"/>
        <v>0</v>
      </c>
      <c r="Q445" s="21"/>
      <c r="R445" s="21"/>
      <c r="S445" s="21"/>
      <c r="T445" s="21"/>
      <c r="U445" s="21"/>
      <c r="V445" s="21"/>
      <c r="W445" s="21"/>
      <c r="X445" s="21"/>
      <c r="Y445" s="21"/>
      <c r="Z445" s="21"/>
    </row>
    <row r="446" spans="1:26">
      <c r="A446" s="43">
        <v>439</v>
      </c>
      <c r="B446" s="44" t="str">
        <f t="shared" si="85"/>
        <v>37-й год 7-й мес</v>
      </c>
      <c r="C446" s="45">
        <f t="shared" si="91"/>
        <v>54553</v>
      </c>
      <c r="D446" s="46">
        <f t="shared" si="81"/>
        <v>0</v>
      </c>
      <c r="E446" s="47">
        <f t="shared" si="86"/>
        <v>0</v>
      </c>
      <c r="F446" s="47">
        <f t="shared" si="92"/>
        <v>0</v>
      </c>
      <c r="G446" s="48">
        <f t="shared" si="87"/>
        <v>0</v>
      </c>
      <c r="H446" s="49">
        <f t="shared" si="82"/>
        <v>0</v>
      </c>
      <c r="I446" s="47">
        <f t="shared" si="93"/>
        <v>0</v>
      </c>
      <c r="J446" s="47">
        <f t="shared" si="88"/>
        <v>0</v>
      </c>
      <c r="K446" s="50">
        <f t="shared" si="89"/>
        <v>0</v>
      </c>
      <c r="L446" s="63"/>
      <c r="M446" s="67"/>
      <c r="N446" s="51">
        <f t="shared" si="83"/>
        <v>7</v>
      </c>
      <c r="O446" s="19">
        <f t="shared" si="90"/>
        <v>10</v>
      </c>
      <c r="P446" s="20">
        <f t="shared" si="84"/>
        <v>0</v>
      </c>
      <c r="Q446" s="21"/>
      <c r="R446" s="21"/>
      <c r="S446" s="21"/>
      <c r="T446" s="21"/>
      <c r="U446" s="21"/>
      <c r="V446" s="21"/>
      <c r="W446" s="21"/>
      <c r="X446" s="21"/>
      <c r="Y446" s="21"/>
      <c r="Z446" s="21"/>
    </row>
    <row r="447" spans="1:26">
      <c r="A447" s="43">
        <v>440</v>
      </c>
      <c r="B447" s="44" t="str">
        <f t="shared" si="85"/>
        <v>37-й год 8-й мес</v>
      </c>
      <c r="C447" s="45">
        <f t="shared" si="91"/>
        <v>54584</v>
      </c>
      <c r="D447" s="46">
        <f t="shared" si="81"/>
        <v>0</v>
      </c>
      <c r="E447" s="47">
        <f t="shared" si="86"/>
        <v>0</v>
      </c>
      <c r="F447" s="47">
        <f t="shared" si="92"/>
        <v>0</v>
      </c>
      <c r="G447" s="48">
        <f t="shared" si="87"/>
        <v>0</v>
      </c>
      <c r="H447" s="49">
        <f t="shared" si="82"/>
        <v>0</v>
      </c>
      <c r="I447" s="47">
        <f t="shared" si="93"/>
        <v>0</v>
      </c>
      <c r="J447" s="47">
        <f t="shared" si="88"/>
        <v>0</v>
      </c>
      <c r="K447" s="50">
        <f t="shared" si="89"/>
        <v>0</v>
      </c>
      <c r="L447" s="63"/>
      <c r="M447" s="67"/>
      <c r="N447" s="51">
        <f t="shared" si="83"/>
        <v>7</v>
      </c>
      <c r="O447" s="19">
        <f t="shared" si="90"/>
        <v>10</v>
      </c>
      <c r="P447" s="20">
        <f t="shared" si="84"/>
        <v>0</v>
      </c>
      <c r="Q447" s="21"/>
      <c r="R447" s="21"/>
      <c r="S447" s="21"/>
      <c r="T447" s="21"/>
      <c r="U447" s="21"/>
      <c r="V447" s="21"/>
      <c r="W447" s="21"/>
      <c r="X447" s="21"/>
      <c r="Y447" s="21"/>
      <c r="Z447" s="21"/>
    </row>
    <row r="448" spans="1:26">
      <c r="A448" s="43">
        <v>441</v>
      </c>
      <c r="B448" s="44" t="str">
        <f t="shared" si="85"/>
        <v>37-й год 9-й мес</v>
      </c>
      <c r="C448" s="45">
        <f t="shared" si="91"/>
        <v>54614</v>
      </c>
      <c r="D448" s="46">
        <f t="shared" si="81"/>
        <v>0</v>
      </c>
      <c r="E448" s="47">
        <f t="shared" si="86"/>
        <v>0</v>
      </c>
      <c r="F448" s="47">
        <f t="shared" si="92"/>
        <v>0</v>
      </c>
      <c r="G448" s="48">
        <f t="shared" si="87"/>
        <v>0</v>
      </c>
      <c r="H448" s="49">
        <f t="shared" si="82"/>
        <v>0</v>
      </c>
      <c r="I448" s="47">
        <f t="shared" si="93"/>
        <v>0</v>
      </c>
      <c r="J448" s="47">
        <f t="shared" si="88"/>
        <v>0</v>
      </c>
      <c r="K448" s="50">
        <f t="shared" si="89"/>
        <v>0</v>
      </c>
      <c r="L448" s="63"/>
      <c r="M448" s="67"/>
      <c r="N448" s="51">
        <f t="shared" si="83"/>
        <v>7</v>
      </c>
      <c r="O448" s="19">
        <f t="shared" si="90"/>
        <v>10</v>
      </c>
      <c r="P448" s="20">
        <f t="shared" si="84"/>
        <v>0</v>
      </c>
      <c r="Q448" s="21"/>
      <c r="R448" s="21"/>
      <c r="S448" s="21"/>
      <c r="T448" s="21"/>
      <c r="U448" s="21"/>
      <c r="V448" s="21"/>
      <c r="W448" s="21"/>
      <c r="X448" s="21"/>
      <c r="Y448" s="21"/>
      <c r="Z448" s="21"/>
    </row>
    <row r="449" spans="1:26">
      <c r="A449" s="43">
        <v>442</v>
      </c>
      <c r="B449" s="44" t="str">
        <f t="shared" si="85"/>
        <v>37-й год 10-й мес</v>
      </c>
      <c r="C449" s="45">
        <f t="shared" si="91"/>
        <v>54645</v>
      </c>
      <c r="D449" s="46">
        <f t="shared" si="81"/>
        <v>0</v>
      </c>
      <c r="E449" s="47">
        <f t="shared" si="86"/>
        <v>0</v>
      </c>
      <c r="F449" s="47">
        <f t="shared" si="92"/>
        <v>0</v>
      </c>
      <c r="G449" s="48">
        <f t="shared" si="87"/>
        <v>0</v>
      </c>
      <c r="H449" s="49">
        <f t="shared" si="82"/>
        <v>0</v>
      </c>
      <c r="I449" s="47">
        <f t="shared" si="93"/>
        <v>0</v>
      </c>
      <c r="J449" s="47">
        <f t="shared" si="88"/>
        <v>0</v>
      </c>
      <c r="K449" s="50">
        <f t="shared" si="89"/>
        <v>0</v>
      </c>
      <c r="L449" s="63"/>
      <c r="M449" s="67"/>
      <c r="N449" s="51">
        <f t="shared" si="83"/>
        <v>7</v>
      </c>
      <c r="O449" s="19">
        <f t="shared" si="90"/>
        <v>10</v>
      </c>
      <c r="P449" s="20">
        <f t="shared" si="84"/>
        <v>0</v>
      </c>
      <c r="Q449" s="21"/>
      <c r="R449" s="21"/>
      <c r="S449" s="21"/>
      <c r="T449" s="21"/>
      <c r="U449" s="21"/>
      <c r="V449" s="21"/>
      <c r="W449" s="21"/>
      <c r="X449" s="21"/>
      <c r="Y449" s="21"/>
      <c r="Z449" s="21"/>
    </row>
    <row r="450" spans="1:26">
      <c r="A450" s="43">
        <v>443</v>
      </c>
      <c r="B450" s="44" t="str">
        <f t="shared" si="85"/>
        <v>37-й год 11-й мес</v>
      </c>
      <c r="C450" s="45">
        <f t="shared" si="91"/>
        <v>54676</v>
      </c>
      <c r="D450" s="46">
        <f t="shared" si="81"/>
        <v>0</v>
      </c>
      <c r="E450" s="47">
        <f t="shared" si="86"/>
        <v>0</v>
      </c>
      <c r="F450" s="47">
        <f t="shared" si="92"/>
        <v>0</v>
      </c>
      <c r="G450" s="48">
        <f t="shared" si="87"/>
        <v>0</v>
      </c>
      <c r="H450" s="49">
        <f t="shared" si="82"/>
        <v>0</v>
      </c>
      <c r="I450" s="47">
        <f t="shared" si="93"/>
        <v>0</v>
      </c>
      <c r="J450" s="47">
        <f t="shared" si="88"/>
        <v>0</v>
      </c>
      <c r="K450" s="50">
        <f t="shared" si="89"/>
        <v>0</v>
      </c>
      <c r="L450" s="63"/>
      <c r="M450" s="67"/>
      <c r="N450" s="51">
        <f t="shared" si="83"/>
        <v>7</v>
      </c>
      <c r="O450" s="19">
        <f t="shared" si="90"/>
        <v>10</v>
      </c>
      <c r="P450" s="20">
        <f t="shared" si="84"/>
        <v>0</v>
      </c>
      <c r="Q450" s="21"/>
      <c r="R450" s="21"/>
      <c r="S450" s="21"/>
      <c r="T450" s="21"/>
      <c r="U450" s="21"/>
      <c r="V450" s="21"/>
      <c r="W450" s="21"/>
      <c r="X450" s="21"/>
      <c r="Y450" s="21"/>
      <c r="Z450" s="21"/>
    </row>
    <row r="451" spans="1:26">
      <c r="A451" s="43">
        <v>444</v>
      </c>
      <c r="B451" s="44" t="str">
        <f t="shared" si="85"/>
        <v>37-й год 12-й мес</v>
      </c>
      <c r="C451" s="45">
        <f t="shared" si="91"/>
        <v>54706</v>
      </c>
      <c r="D451" s="46">
        <f t="shared" si="81"/>
        <v>0</v>
      </c>
      <c r="E451" s="47">
        <f t="shared" si="86"/>
        <v>0</v>
      </c>
      <c r="F451" s="47">
        <f t="shared" si="92"/>
        <v>0</v>
      </c>
      <c r="G451" s="48">
        <f t="shared" si="87"/>
        <v>0</v>
      </c>
      <c r="H451" s="49">
        <f t="shared" si="82"/>
        <v>0</v>
      </c>
      <c r="I451" s="47">
        <f t="shared" si="93"/>
        <v>0</v>
      </c>
      <c r="J451" s="47">
        <f t="shared" si="88"/>
        <v>0</v>
      </c>
      <c r="K451" s="50">
        <f t="shared" si="89"/>
        <v>0</v>
      </c>
      <c r="L451" s="63"/>
      <c r="M451" s="67"/>
      <c r="N451" s="51">
        <f t="shared" si="83"/>
        <v>7</v>
      </c>
      <c r="O451" s="19">
        <f t="shared" si="90"/>
        <v>10</v>
      </c>
      <c r="P451" s="20">
        <f t="shared" si="84"/>
        <v>0</v>
      </c>
      <c r="Q451" s="21"/>
      <c r="R451" s="21"/>
      <c r="S451" s="21"/>
      <c r="T451" s="21"/>
      <c r="U451" s="21"/>
      <c r="V451" s="21"/>
      <c r="W451" s="21"/>
      <c r="X451" s="21"/>
      <c r="Y451" s="21"/>
      <c r="Z451" s="21"/>
    </row>
    <row r="452" spans="1:26">
      <c r="A452" s="52">
        <v>445</v>
      </c>
      <c r="B452" s="44" t="str">
        <f t="shared" si="85"/>
        <v>38-й год 1-й мес</v>
      </c>
      <c r="C452" s="45">
        <f t="shared" si="91"/>
        <v>54737</v>
      </c>
      <c r="D452" s="46">
        <f t="shared" si="81"/>
        <v>0</v>
      </c>
      <c r="E452" s="53">
        <f t="shared" si="86"/>
        <v>0</v>
      </c>
      <c r="F452" s="47">
        <f t="shared" si="92"/>
        <v>0</v>
      </c>
      <c r="G452" s="54">
        <f t="shared" si="87"/>
        <v>0</v>
      </c>
      <c r="H452" s="55">
        <f t="shared" si="82"/>
        <v>0</v>
      </c>
      <c r="I452" s="53">
        <f t="shared" si="93"/>
        <v>0</v>
      </c>
      <c r="J452" s="53">
        <f t="shared" si="88"/>
        <v>0</v>
      </c>
      <c r="K452" s="56">
        <f t="shared" si="89"/>
        <v>0</v>
      </c>
      <c r="L452" s="65"/>
      <c r="M452" s="64"/>
      <c r="N452" s="51">
        <f t="shared" si="83"/>
        <v>7</v>
      </c>
      <c r="O452" s="19">
        <f t="shared" si="90"/>
        <v>10</v>
      </c>
      <c r="P452" s="20">
        <f t="shared" si="84"/>
        <v>0</v>
      </c>
      <c r="Q452" s="21"/>
      <c r="R452" s="21"/>
      <c r="S452" s="21"/>
      <c r="T452" s="21"/>
      <c r="U452" s="21"/>
      <c r="V452" s="21"/>
      <c r="W452" s="21"/>
      <c r="X452" s="21"/>
      <c r="Y452" s="21"/>
      <c r="Z452" s="21"/>
    </row>
    <row r="453" spans="1:26">
      <c r="A453" s="57">
        <v>446</v>
      </c>
      <c r="B453" s="44" t="str">
        <f t="shared" si="85"/>
        <v>38-й год 2-й мес</v>
      </c>
      <c r="C453" s="45">
        <f t="shared" si="91"/>
        <v>54767</v>
      </c>
      <c r="D453" s="46">
        <f t="shared" si="81"/>
        <v>0</v>
      </c>
      <c r="E453" s="47">
        <f t="shared" si="86"/>
        <v>0</v>
      </c>
      <c r="F453" s="47">
        <f t="shared" si="92"/>
        <v>0</v>
      </c>
      <c r="G453" s="48">
        <f t="shared" si="87"/>
        <v>0</v>
      </c>
      <c r="H453" s="49">
        <f t="shared" si="82"/>
        <v>0</v>
      </c>
      <c r="I453" s="47">
        <f t="shared" si="93"/>
        <v>0</v>
      </c>
      <c r="J453" s="47">
        <f t="shared" si="88"/>
        <v>0</v>
      </c>
      <c r="K453" s="50">
        <f t="shared" si="89"/>
        <v>0</v>
      </c>
      <c r="L453" s="63"/>
      <c r="M453" s="67"/>
      <c r="N453" s="51">
        <f t="shared" si="83"/>
        <v>7</v>
      </c>
      <c r="O453" s="19">
        <f t="shared" si="90"/>
        <v>10</v>
      </c>
      <c r="P453" s="20">
        <f t="shared" si="84"/>
        <v>0</v>
      </c>
      <c r="Q453" s="21"/>
      <c r="R453" s="21"/>
      <c r="S453" s="21"/>
      <c r="T453" s="21"/>
      <c r="U453" s="21"/>
      <c r="V453" s="21"/>
      <c r="W453" s="21"/>
      <c r="X453" s="21"/>
      <c r="Y453" s="21"/>
      <c r="Z453" s="21"/>
    </row>
    <row r="454" spans="1:26">
      <c r="A454" s="57">
        <v>447</v>
      </c>
      <c r="B454" s="44" t="str">
        <f t="shared" si="85"/>
        <v>38-й год 3-й мес</v>
      </c>
      <c r="C454" s="45">
        <f t="shared" si="91"/>
        <v>54798</v>
      </c>
      <c r="D454" s="46">
        <f t="shared" si="81"/>
        <v>0</v>
      </c>
      <c r="E454" s="47">
        <f t="shared" si="86"/>
        <v>0</v>
      </c>
      <c r="F454" s="47">
        <f t="shared" si="92"/>
        <v>0</v>
      </c>
      <c r="G454" s="48">
        <f t="shared" si="87"/>
        <v>0</v>
      </c>
      <c r="H454" s="49">
        <f t="shared" si="82"/>
        <v>0</v>
      </c>
      <c r="I454" s="47">
        <f t="shared" si="93"/>
        <v>0</v>
      </c>
      <c r="J454" s="47">
        <f t="shared" si="88"/>
        <v>0</v>
      </c>
      <c r="K454" s="50">
        <f t="shared" si="89"/>
        <v>0</v>
      </c>
      <c r="L454" s="63"/>
      <c r="M454" s="67"/>
      <c r="N454" s="51">
        <f t="shared" si="83"/>
        <v>7</v>
      </c>
      <c r="O454" s="19">
        <f t="shared" si="90"/>
        <v>10</v>
      </c>
      <c r="P454" s="20">
        <f t="shared" si="84"/>
        <v>0</v>
      </c>
      <c r="Q454" s="21"/>
      <c r="R454" s="21"/>
      <c r="S454" s="21"/>
      <c r="T454" s="21"/>
      <c r="U454" s="21"/>
      <c r="V454" s="21"/>
      <c r="W454" s="21"/>
      <c r="X454" s="21"/>
      <c r="Y454" s="21"/>
      <c r="Z454" s="21"/>
    </row>
    <row r="455" spans="1:26">
      <c r="A455" s="57">
        <v>448</v>
      </c>
      <c r="B455" s="44" t="str">
        <f t="shared" si="85"/>
        <v>38-й год 4-й мес</v>
      </c>
      <c r="C455" s="45">
        <f t="shared" si="91"/>
        <v>54829</v>
      </c>
      <c r="D455" s="46">
        <f t="shared" si="81"/>
        <v>0</v>
      </c>
      <c r="E455" s="47">
        <f t="shared" si="86"/>
        <v>0</v>
      </c>
      <c r="F455" s="47">
        <f t="shared" si="92"/>
        <v>0</v>
      </c>
      <c r="G455" s="48">
        <f t="shared" si="87"/>
        <v>0</v>
      </c>
      <c r="H455" s="49">
        <f t="shared" si="82"/>
        <v>0</v>
      </c>
      <c r="I455" s="47">
        <f t="shared" si="93"/>
        <v>0</v>
      </c>
      <c r="J455" s="47">
        <f t="shared" si="88"/>
        <v>0</v>
      </c>
      <c r="K455" s="50">
        <f t="shared" si="89"/>
        <v>0</v>
      </c>
      <c r="L455" s="63"/>
      <c r="M455" s="67"/>
      <c r="N455" s="51">
        <f t="shared" si="83"/>
        <v>7</v>
      </c>
      <c r="O455" s="19">
        <f t="shared" si="90"/>
        <v>10</v>
      </c>
      <c r="P455" s="20">
        <f t="shared" si="84"/>
        <v>0</v>
      </c>
      <c r="Q455" s="21"/>
      <c r="R455" s="21"/>
      <c r="S455" s="21"/>
      <c r="T455" s="21"/>
      <c r="U455" s="21"/>
      <c r="V455" s="21"/>
      <c r="W455" s="21"/>
      <c r="X455" s="21"/>
      <c r="Y455" s="21"/>
      <c r="Z455" s="21"/>
    </row>
    <row r="456" spans="1:26">
      <c r="A456" s="57">
        <v>449</v>
      </c>
      <c r="B456" s="44" t="str">
        <f t="shared" si="85"/>
        <v>38-й год 5-й мес</v>
      </c>
      <c r="C456" s="45">
        <f t="shared" si="91"/>
        <v>54857</v>
      </c>
      <c r="D456" s="46">
        <f t="shared" ref="D456:D519" si="94">IF(P456*$D$2/100/12/(1-(1+$D$2/100/12)^(-O456))&lt;G455,ROUNDUP(P456*$D$2/100/12/(1-(1+$D$2/100/12)^(-O456)),0),G455+F456)</f>
        <v>0</v>
      </c>
      <c r="E456" s="47">
        <f t="shared" si="86"/>
        <v>0</v>
      </c>
      <c r="F456" s="47">
        <f t="shared" si="92"/>
        <v>0</v>
      </c>
      <c r="G456" s="48">
        <f t="shared" si="87"/>
        <v>0</v>
      </c>
      <c r="H456" s="49">
        <f t="shared" ref="H456:H519" si="95">I456+J456</f>
        <v>0</v>
      </c>
      <c r="I456" s="47">
        <f t="shared" si="93"/>
        <v>0</v>
      </c>
      <c r="J456" s="47">
        <f t="shared" si="88"/>
        <v>0</v>
      </c>
      <c r="K456" s="50">
        <f t="shared" si="89"/>
        <v>0</v>
      </c>
      <c r="L456" s="63"/>
      <c r="M456" s="67"/>
      <c r="N456" s="51">
        <f t="shared" ref="N456:N519" si="96">IF(ISBLANK(L455),VALUE(N455),ROW(L455))</f>
        <v>7</v>
      </c>
      <c r="O456" s="19">
        <f t="shared" si="90"/>
        <v>10</v>
      </c>
      <c r="P456" s="20">
        <f t="shared" ref="P456:P519" si="97">INDEX(G:G,N456,1)</f>
        <v>0</v>
      </c>
      <c r="Q456" s="21"/>
      <c r="R456" s="21"/>
      <c r="S456" s="21"/>
      <c r="T456" s="21"/>
      <c r="U456" s="21"/>
      <c r="V456" s="21"/>
      <c r="W456" s="21"/>
      <c r="X456" s="21"/>
      <c r="Y456" s="21"/>
      <c r="Z456" s="21"/>
    </row>
    <row r="457" spans="1:26">
      <c r="A457" s="57">
        <v>450</v>
      </c>
      <c r="B457" s="44" t="str">
        <f t="shared" ref="B457:B519" si="98">CONCATENATE(INT((A457-1)/12)+1,"-й год ",A457-1-INT((A457-1)/12)*12+1,"-й мес")</f>
        <v>38-й год 6-й мес</v>
      </c>
      <c r="C457" s="45">
        <f t="shared" si="91"/>
        <v>54888</v>
      </c>
      <c r="D457" s="46">
        <f t="shared" si="94"/>
        <v>0</v>
      </c>
      <c r="E457" s="47">
        <f t="shared" ref="E457:E520" si="99">D457-F457</f>
        <v>0</v>
      </c>
      <c r="F457" s="47">
        <f t="shared" si="92"/>
        <v>0</v>
      </c>
      <c r="G457" s="48">
        <f t="shared" ref="G457:G520" si="100">G456-E457-L457-M457</f>
        <v>0</v>
      </c>
      <c r="H457" s="49">
        <f t="shared" si="95"/>
        <v>0</v>
      </c>
      <c r="I457" s="47">
        <f t="shared" si="93"/>
        <v>0</v>
      </c>
      <c r="J457" s="47">
        <f t="shared" ref="J457:J520" si="101">K456*$D$2/12/100</f>
        <v>0</v>
      </c>
      <c r="K457" s="50">
        <f t="shared" ref="K457:K520" si="102">K456-I457-L457-M457</f>
        <v>0</v>
      </c>
      <c r="L457" s="63"/>
      <c r="M457" s="67"/>
      <c r="N457" s="51">
        <f t="shared" si="96"/>
        <v>7</v>
      </c>
      <c r="O457" s="19">
        <f t="shared" ref="O457:O520" si="103">O456+N456-N457</f>
        <v>10</v>
      </c>
      <c r="P457" s="20">
        <f t="shared" si="97"/>
        <v>0</v>
      </c>
      <c r="Q457" s="21"/>
      <c r="R457" s="21"/>
      <c r="S457" s="21"/>
      <c r="T457" s="21"/>
      <c r="U457" s="21"/>
      <c r="V457" s="21"/>
      <c r="W457" s="21"/>
      <c r="X457" s="21"/>
      <c r="Y457" s="21"/>
      <c r="Z457" s="21"/>
    </row>
    <row r="458" spans="1:26">
      <c r="A458" s="57">
        <v>451</v>
      </c>
      <c r="B458" s="44" t="str">
        <f t="shared" si="98"/>
        <v>38-й год 7-й мес</v>
      </c>
      <c r="C458" s="45">
        <f t="shared" ref="C458:C521" si="104">DATE(YEAR(C457),MONTH(C457)+1,DAY(C457))</f>
        <v>54918</v>
      </c>
      <c r="D458" s="46">
        <f t="shared" si="94"/>
        <v>0</v>
      </c>
      <c r="E458" s="47">
        <f t="shared" si="99"/>
        <v>0</v>
      </c>
      <c r="F458" s="47">
        <f t="shared" ref="F458:F521" si="105">G457*$D$2*(C458-C457)/(DATE(YEAR(C458)+1,1,1)-DATE(YEAR(C458),1,1))/100</f>
        <v>0</v>
      </c>
      <c r="G458" s="48">
        <f t="shared" si="100"/>
        <v>0</v>
      </c>
      <c r="H458" s="49">
        <f t="shared" si="95"/>
        <v>0</v>
      </c>
      <c r="I458" s="47">
        <f t="shared" ref="I458:I521" si="106">IF($D$1/$D$3&lt;K457,$D$1/$D$3,K457)</f>
        <v>0</v>
      </c>
      <c r="J458" s="47">
        <f t="shared" si="101"/>
        <v>0</v>
      </c>
      <c r="K458" s="50">
        <f t="shared" si="102"/>
        <v>0</v>
      </c>
      <c r="L458" s="63"/>
      <c r="M458" s="67"/>
      <c r="N458" s="51">
        <f t="shared" si="96"/>
        <v>7</v>
      </c>
      <c r="O458" s="19">
        <f t="shared" si="103"/>
        <v>10</v>
      </c>
      <c r="P458" s="20">
        <f t="shared" si="97"/>
        <v>0</v>
      </c>
      <c r="Q458" s="21"/>
      <c r="R458" s="21"/>
      <c r="S458" s="21"/>
      <c r="T458" s="21"/>
      <c r="U458" s="21"/>
      <c r="V458" s="21"/>
      <c r="W458" s="21"/>
      <c r="X458" s="21"/>
      <c r="Y458" s="21"/>
      <c r="Z458" s="21"/>
    </row>
    <row r="459" spans="1:26">
      <c r="A459" s="57">
        <v>452</v>
      </c>
      <c r="B459" s="44" t="str">
        <f t="shared" si="98"/>
        <v>38-й год 8-й мес</v>
      </c>
      <c r="C459" s="45">
        <f t="shared" si="104"/>
        <v>54949</v>
      </c>
      <c r="D459" s="46">
        <f t="shared" si="94"/>
        <v>0</v>
      </c>
      <c r="E459" s="47">
        <f t="shared" si="99"/>
        <v>0</v>
      </c>
      <c r="F459" s="47">
        <f t="shared" si="105"/>
        <v>0</v>
      </c>
      <c r="G459" s="48">
        <f t="shared" si="100"/>
        <v>0</v>
      </c>
      <c r="H459" s="49">
        <f t="shared" si="95"/>
        <v>0</v>
      </c>
      <c r="I459" s="47">
        <f t="shared" si="106"/>
        <v>0</v>
      </c>
      <c r="J459" s="47">
        <f t="shared" si="101"/>
        <v>0</v>
      </c>
      <c r="K459" s="50">
        <f t="shared" si="102"/>
        <v>0</v>
      </c>
      <c r="L459" s="63"/>
      <c r="M459" s="67"/>
      <c r="N459" s="51">
        <f t="shared" si="96"/>
        <v>7</v>
      </c>
      <c r="O459" s="19">
        <f t="shared" si="103"/>
        <v>10</v>
      </c>
      <c r="P459" s="20">
        <f t="shared" si="97"/>
        <v>0</v>
      </c>
      <c r="Q459" s="21"/>
      <c r="R459" s="21"/>
      <c r="S459" s="21"/>
      <c r="T459" s="21"/>
      <c r="U459" s="21"/>
      <c r="V459" s="21"/>
      <c r="W459" s="21"/>
      <c r="X459" s="21"/>
      <c r="Y459" s="21"/>
      <c r="Z459" s="21"/>
    </row>
    <row r="460" spans="1:26">
      <c r="A460" s="57">
        <v>453</v>
      </c>
      <c r="B460" s="44" t="str">
        <f t="shared" si="98"/>
        <v>38-й год 9-й мес</v>
      </c>
      <c r="C460" s="45">
        <f t="shared" si="104"/>
        <v>54979</v>
      </c>
      <c r="D460" s="46">
        <f t="shared" si="94"/>
        <v>0</v>
      </c>
      <c r="E460" s="47">
        <f t="shared" si="99"/>
        <v>0</v>
      </c>
      <c r="F460" s="47">
        <f t="shared" si="105"/>
        <v>0</v>
      </c>
      <c r="G460" s="48">
        <f t="shared" si="100"/>
        <v>0</v>
      </c>
      <c r="H460" s="49">
        <f t="shared" si="95"/>
        <v>0</v>
      </c>
      <c r="I460" s="47">
        <f t="shared" si="106"/>
        <v>0</v>
      </c>
      <c r="J460" s="47">
        <f t="shared" si="101"/>
        <v>0</v>
      </c>
      <c r="K460" s="50">
        <f t="shared" si="102"/>
        <v>0</v>
      </c>
      <c r="L460" s="63"/>
      <c r="M460" s="67"/>
      <c r="N460" s="51">
        <f t="shared" si="96"/>
        <v>7</v>
      </c>
      <c r="O460" s="19">
        <f t="shared" si="103"/>
        <v>10</v>
      </c>
      <c r="P460" s="20">
        <f t="shared" si="97"/>
        <v>0</v>
      </c>
      <c r="Q460" s="21"/>
      <c r="R460" s="21"/>
      <c r="S460" s="21"/>
      <c r="T460" s="21"/>
      <c r="U460" s="21"/>
      <c r="V460" s="21"/>
      <c r="W460" s="21"/>
      <c r="X460" s="21"/>
      <c r="Y460" s="21"/>
      <c r="Z460" s="21"/>
    </row>
    <row r="461" spans="1:26">
      <c r="A461" s="57">
        <v>454</v>
      </c>
      <c r="B461" s="44" t="str">
        <f t="shared" si="98"/>
        <v>38-й год 10-й мес</v>
      </c>
      <c r="C461" s="45">
        <f t="shared" si="104"/>
        <v>55010</v>
      </c>
      <c r="D461" s="46">
        <f t="shared" si="94"/>
        <v>0</v>
      </c>
      <c r="E461" s="47">
        <f t="shared" si="99"/>
        <v>0</v>
      </c>
      <c r="F461" s="47">
        <f t="shared" si="105"/>
        <v>0</v>
      </c>
      <c r="G461" s="48">
        <f t="shared" si="100"/>
        <v>0</v>
      </c>
      <c r="H461" s="49">
        <f t="shared" si="95"/>
        <v>0</v>
      </c>
      <c r="I461" s="47">
        <f t="shared" si="106"/>
        <v>0</v>
      </c>
      <c r="J461" s="47">
        <f t="shared" si="101"/>
        <v>0</v>
      </c>
      <c r="K461" s="50">
        <f t="shared" si="102"/>
        <v>0</v>
      </c>
      <c r="L461" s="63"/>
      <c r="M461" s="67"/>
      <c r="N461" s="51">
        <f t="shared" si="96"/>
        <v>7</v>
      </c>
      <c r="O461" s="19">
        <f t="shared" si="103"/>
        <v>10</v>
      </c>
      <c r="P461" s="20">
        <f t="shared" si="97"/>
        <v>0</v>
      </c>
      <c r="Q461" s="21"/>
      <c r="R461" s="21"/>
      <c r="S461" s="21"/>
      <c r="T461" s="21"/>
      <c r="U461" s="21"/>
      <c r="V461" s="21"/>
      <c r="W461" s="21"/>
      <c r="X461" s="21"/>
      <c r="Y461" s="21"/>
      <c r="Z461" s="21"/>
    </row>
    <row r="462" spans="1:26">
      <c r="A462" s="57">
        <v>455</v>
      </c>
      <c r="B462" s="44" t="str">
        <f t="shared" si="98"/>
        <v>38-й год 11-й мес</v>
      </c>
      <c r="C462" s="45">
        <f t="shared" si="104"/>
        <v>55041</v>
      </c>
      <c r="D462" s="46">
        <f t="shared" si="94"/>
        <v>0</v>
      </c>
      <c r="E462" s="47">
        <f t="shared" si="99"/>
        <v>0</v>
      </c>
      <c r="F462" s="47">
        <f t="shared" si="105"/>
        <v>0</v>
      </c>
      <c r="G462" s="48">
        <f t="shared" si="100"/>
        <v>0</v>
      </c>
      <c r="H462" s="49">
        <f t="shared" si="95"/>
        <v>0</v>
      </c>
      <c r="I462" s="47">
        <f t="shared" si="106"/>
        <v>0</v>
      </c>
      <c r="J462" s="47">
        <f t="shared" si="101"/>
        <v>0</v>
      </c>
      <c r="K462" s="50">
        <f t="shared" si="102"/>
        <v>0</v>
      </c>
      <c r="L462" s="63"/>
      <c r="M462" s="67"/>
      <c r="N462" s="51">
        <f t="shared" si="96"/>
        <v>7</v>
      </c>
      <c r="O462" s="19">
        <f t="shared" si="103"/>
        <v>10</v>
      </c>
      <c r="P462" s="20">
        <f t="shared" si="97"/>
        <v>0</v>
      </c>
      <c r="Q462" s="21"/>
      <c r="R462" s="21"/>
      <c r="S462" s="21"/>
      <c r="T462" s="21"/>
      <c r="U462" s="21"/>
      <c r="V462" s="21"/>
      <c r="W462" s="21"/>
      <c r="X462" s="21"/>
      <c r="Y462" s="21"/>
      <c r="Z462" s="21"/>
    </row>
    <row r="463" spans="1:26">
      <c r="A463" s="58">
        <v>456</v>
      </c>
      <c r="B463" s="44" t="str">
        <f t="shared" si="98"/>
        <v>38-й год 12-й мес</v>
      </c>
      <c r="C463" s="45">
        <f t="shared" si="104"/>
        <v>55071</v>
      </c>
      <c r="D463" s="46">
        <f t="shared" si="94"/>
        <v>0</v>
      </c>
      <c r="E463" s="59">
        <f t="shared" si="99"/>
        <v>0</v>
      </c>
      <c r="F463" s="47">
        <f t="shared" si="105"/>
        <v>0</v>
      </c>
      <c r="G463" s="60">
        <f t="shared" si="100"/>
        <v>0</v>
      </c>
      <c r="H463" s="61">
        <f t="shared" si="95"/>
        <v>0</v>
      </c>
      <c r="I463" s="59">
        <f t="shared" si="106"/>
        <v>0</v>
      </c>
      <c r="J463" s="59">
        <f t="shared" si="101"/>
        <v>0</v>
      </c>
      <c r="K463" s="62">
        <f t="shared" si="102"/>
        <v>0</v>
      </c>
      <c r="L463" s="66"/>
      <c r="M463" s="68"/>
      <c r="N463" s="51">
        <f t="shared" si="96"/>
        <v>7</v>
      </c>
      <c r="O463" s="19">
        <f t="shared" si="103"/>
        <v>10</v>
      </c>
      <c r="P463" s="20">
        <f t="shared" si="97"/>
        <v>0</v>
      </c>
      <c r="Q463" s="21"/>
      <c r="R463" s="21"/>
      <c r="S463" s="21"/>
      <c r="T463" s="21"/>
      <c r="U463" s="21"/>
      <c r="V463" s="21"/>
      <c r="W463" s="21"/>
      <c r="X463" s="21"/>
      <c r="Y463" s="21"/>
      <c r="Z463" s="21"/>
    </row>
    <row r="464" spans="1:26">
      <c r="A464" s="43">
        <v>457</v>
      </c>
      <c r="B464" s="44" t="str">
        <f t="shared" si="98"/>
        <v>39-й год 1-й мес</v>
      </c>
      <c r="C464" s="45">
        <f t="shared" si="104"/>
        <v>55102</v>
      </c>
      <c r="D464" s="46">
        <f t="shared" si="94"/>
        <v>0</v>
      </c>
      <c r="E464" s="47">
        <f t="shared" si="99"/>
        <v>0</v>
      </c>
      <c r="F464" s="47">
        <f t="shared" si="105"/>
        <v>0</v>
      </c>
      <c r="G464" s="48">
        <f t="shared" si="100"/>
        <v>0</v>
      </c>
      <c r="H464" s="49">
        <f t="shared" si="95"/>
        <v>0</v>
      </c>
      <c r="I464" s="47">
        <f t="shared" si="106"/>
        <v>0</v>
      </c>
      <c r="J464" s="47">
        <f t="shared" si="101"/>
        <v>0</v>
      </c>
      <c r="K464" s="50">
        <f t="shared" si="102"/>
        <v>0</v>
      </c>
      <c r="L464" s="63"/>
      <c r="M464" s="67"/>
      <c r="N464" s="51">
        <f t="shared" si="96"/>
        <v>7</v>
      </c>
      <c r="O464" s="19">
        <f t="shared" si="103"/>
        <v>10</v>
      </c>
      <c r="P464" s="20">
        <f t="shared" si="97"/>
        <v>0</v>
      </c>
      <c r="Q464" s="21"/>
      <c r="R464" s="21"/>
      <c r="S464" s="21"/>
      <c r="T464" s="21"/>
      <c r="U464" s="21"/>
      <c r="V464" s="21"/>
      <c r="W464" s="21"/>
      <c r="X464" s="21"/>
      <c r="Y464" s="21"/>
      <c r="Z464" s="21"/>
    </row>
    <row r="465" spans="1:26">
      <c r="A465" s="43">
        <v>458</v>
      </c>
      <c r="B465" s="44" t="str">
        <f t="shared" si="98"/>
        <v>39-й год 2-й мес</v>
      </c>
      <c r="C465" s="45">
        <f t="shared" si="104"/>
        <v>55132</v>
      </c>
      <c r="D465" s="46">
        <f t="shared" si="94"/>
        <v>0</v>
      </c>
      <c r="E465" s="47">
        <f t="shared" si="99"/>
        <v>0</v>
      </c>
      <c r="F465" s="47">
        <f t="shared" si="105"/>
        <v>0</v>
      </c>
      <c r="G465" s="48">
        <f t="shared" si="100"/>
        <v>0</v>
      </c>
      <c r="H465" s="49">
        <f t="shared" si="95"/>
        <v>0</v>
      </c>
      <c r="I465" s="47">
        <f t="shared" si="106"/>
        <v>0</v>
      </c>
      <c r="J465" s="47">
        <f t="shared" si="101"/>
        <v>0</v>
      </c>
      <c r="K465" s="50">
        <f t="shared" si="102"/>
        <v>0</v>
      </c>
      <c r="L465" s="63"/>
      <c r="M465" s="67"/>
      <c r="N465" s="51">
        <f t="shared" si="96"/>
        <v>7</v>
      </c>
      <c r="O465" s="19">
        <f t="shared" si="103"/>
        <v>10</v>
      </c>
      <c r="P465" s="20">
        <f t="shared" si="97"/>
        <v>0</v>
      </c>
      <c r="Q465" s="21"/>
      <c r="R465" s="21"/>
      <c r="S465" s="21"/>
      <c r="T465" s="21"/>
      <c r="U465" s="21"/>
      <c r="V465" s="21"/>
      <c r="W465" s="21"/>
      <c r="X465" s="21"/>
      <c r="Y465" s="21"/>
      <c r="Z465" s="21"/>
    </row>
    <row r="466" spans="1:26">
      <c r="A466" s="43">
        <v>459</v>
      </c>
      <c r="B466" s="44" t="str">
        <f t="shared" si="98"/>
        <v>39-й год 3-й мес</v>
      </c>
      <c r="C466" s="45">
        <f t="shared" si="104"/>
        <v>55163</v>
      </c>
      <c r="D466" s="46">
        <f t="shared" si="94"/>
        <v>0</v>
      </c>
      <c r="E466" s="47">
        <f t="shared" si="99"/>
        <v>0</v>
      </c>
      <c r="F466" s="47">
        <f t="shared" si="105"/>
        <v>0</v>
      </c>
      <c r="G466" s="48">
        <f t="shared" si="100"/>
        <v>0</v>
      </c>
      <c r="H466" s="49">
        <f t="shared" si="95"/>
        <v>0</v>
      </c>
      <c r="I466" s="47">
        <f t="shared" si="106"/>
        <v>0</v>
      </c>
      <c r="J466" s="47">
        <f t="shared" si="101"/>
        <v>0</v>
      </c>
      <c r="K466" s="50">
        <f t="shared" si="102"/>
        <v>0</v>
      </c>
      <c r="L466" s="63"/>
      <c r="M466" s="67"/>
      <c r="N466" s="51">
        <f t="shared" si="96"/>
        <v>7</v>
      </c>
      <c r="O466" s="19">
        <f t="shared" si="103"/>
        <v>10</v>
      </c>
      <c r="P466" s="20">
        <f t="shared" si="97"/>
        <v>0</v>
      </c>
      <c r="Q466" s="21"/>
      <c r="R466" s="21"/>
      <c r="S466" s="21"/>
      <c r="T466" s="21"/>
      <c r="U466" s="21"/>
      <c r="V466" s="21"/>
      <c r="W466" s="21"/>
      <c r="X466" s="21"/>
      <c r="Y466" s="21"/>
      <c r="Z466" s="21"/>
    </row>
    <row r="467" spans="1:26">
      <c r="A467" s="43">
        <v>460</v>
      </c>
      <c r="B467" s="44" t="str">
        <f t="shared" si="98"/>
        <v>39-й год 4-й мес</v>
      </c>
      <c r="C467" s="45">
        <f t="shared" si="104"/>
        <v>55194</v>
      </c>
      <c r="D467" s="46">
        <f t="shared" si="94"/>
        <v>0</v>
      </c>
      <c r="E467" s="47">
        <f t="shared" si="99"/>
        <v>0</v>
      </c>
      <c r="F467" s="47">
        <f t="shared" si="105"/>
        <v>0</v>
      </c>
      <c r="G467" s="48">
        <f t="shared" si="100"/>
        <v>0</v>
      </c>
      <c r="H467" s="49">
        <f t="shared" si="95"/>
        <v>0</v>
      </c>
      <c r="I467" s="47">
        <f t="shared" si="106"/>
        <v>0</v>
      </c>
      <c r="J467" s="47">
        <f t="shared" si="101"/>
        <v>0</v>
      </c>
      <c r="K467" s="50">
        <f t="shared" si="102"/>
        <v>0</v>
      </c>
      <c r="L467" s="63"/>
      <c r="M467" s="67"/>
      <c r="N467" s="51">
        <f t="shared" si="96"/>
        <v>7</v>
      </c>
      <c r="O467" s="19">
        <f t="shared" si="103"/>
        <v>10</v>
      </c>
      <c r="P467" s="20">
        <f t="shared" si="97"/>
        <v>0</v>
      </c>
      <c r="Q467" s="21"/>
      <c r="R467" s="21"/>
      <c r="S467" s="21"/>
      <c r="T467" s="21"/>
      <c r="U467" s="21"/>
      <c r="V467" s="21"/>
      <c r="W467" s="21"/>
      <c r="X467" s="21"/>
      <c r="Y467" s="21"/>
      <c r="Z467" s="21"/>
    </row>
    <row r="468" spans="1:26">
      <c r="A468" s="43">
        <v>461</v>
      </c>
      <c r="B468" s="44" t="str">
        <f t="shared" si="98"/>
        <v>39-й год 5-й мес</v>
      </c>
      <c r="C468" s="45">
        <f t="shared" si="104"/>
        <v>55222</v>
      </c>
      <c r="D468" s="46">
        <f t="shared" si="94"/>
        <v>0</v>
      </c>
      <c r="E468" s="47">
        <f t="shared" si="99"/>
        <v>0</v>
      </c>
      <c r="F468" s="47">
        <f t="shared" si="105"/>
        <v>0</v>
      </c>
      <c r="G468" s="48">
        <f t="shared" si="100"/>
        <v>0</v>
      </c>
      <c r="H468" s="49">
        <f t="shared" si="95"/>
        <v>0</v>
      </c>
      <c r="I468" s="47">
        <f t="shared" si="106"/>
        <v>0</v>
      </c>
      <c r="J468" s="47">
        <f t="shared" si="101"/>
        <v>0</v>
      </c>
      <c r="K468" s="50">
        <f t="shared" si="102"/>
        <v>0</v>
      </c>
      <c r="L468" s="63"/>
      <c r="M468" s="67"/>
      <c r="N468" s="51">
        <f t="shared" si="96"/>
        <v>7</v>
      </c>
      <c r="O468" s="19">
        <f t="shared" si="103"/>
        <v>10</v>
      </c>
      <c r="P468" s="20">
        <f t="shared" si="97"/>
        <v>0</v>
      </c>
      <c r="Q468" s="21"/>
      <c r="R468" s="21"/>
      <c r="S468" s="21"/>
      <c r="T468" s="21"/>
      <c r="U468" s="21"/>
      <c r="V468" s="21"/>
      <c r="W468" s="21"/>
      <c r="X468" s="21"/>
      <c r="Y468" s="21"/>
      <c r="Z468" s="21"/>
    </row>
    <row r="469" spans="1:26">
      <c r="A469" s="43">
        <v>462</v>
      </c>
      <c r="B469" s="44" t="str">
        <f t="shared" si="98"/>
        <v>39-й год 6-й мес</v>
      </c>
      <c r="C469" s="45">
        <f t="shared" si="104"/>
        <v>55253</v>
      </c>
      <c r="D469" s="46">
        <f t="shared" si="94"/>
        <v>0</v>
      </c>
      <c r="E469" s="47">
        <f t="shared" si="99"/>
        <v>0</v>
      </c>
      <c r="F469" s="47">
        <f t="shared" si="105"/>
        <v>0</v>
      </c>
      <c r="G469" s="48">
        <f t="shared" si="100"/>
        <v>0</v>
      </c>
      <c r="H469" s="49">
        <f t="shared" si="95"/>
        <v>0</v>
      </c>
      <c r="I469" s="47">
        <f t="shared" si="106"/>
        <v>0</v>
      </c>
      <c r="J469" s="47">
        <f t="shared" si="101"/>
        <v>0</v>
      </c>
      <c r="K469" s="50">
        <f t="shared" si="102"/>
        <v>0</v>
      </c>
      <c r="L469" s="63"/>
      <c r="M469" s="67"/>
      <c r="N469" s="51">
        <f t="shared" si="96"/>
        <v>7</v>
      </c>
      <c r="O469" s="19">
        <f t="shared" si="103"/>
        <v>10</v>
      </c>
      <c r="P469" s="20">
        <f t="shared" si="97"/>
        <v>0</v>
      </c>
      <c r="Q469" s="21"/>
      <c r="R469" s="21"/>
      <c r="S469" s="21"/>
      <c r="T469" s="21"/>
      <c r="U469" s="21"/>
      <c r="V469" s="21"/>
      <c r="W469" s="21"/>
      <c r="X469" s="21"/>
      <c r="Y469" s="21"/>
      <c r="Z469" s="21"/>
    </row>
    <row r="470" spans="1:26">
      <c r="A470" s="43">
        <v>463</v>
      </c>
      <c r="B470" s="44" t="str">
        <f t="shared" si="98"/>
        <v>39-й год 7-й мес</v>
      </c>
      <c r="C470" s="45">
        <f t="shared" si="104"/>
        <v>55283</v>
      </c>
      <c r="D470" s="46">
        <f t="shared" si="94"/>
        <v>0</v>
      </c>
      <c r="E470" s="47">
        <f t="shared" si="99"/>
        <v>0</v>
      </c>
      <c r="F470" s="47">
        <f t="shared" si="105"/>
        <v>0</v>
      </c>
      <c r="G470" s="48">
        <f t="shared" si="100"/>
        <v>0</v>
      </c>
      <c r="H470" s="49">
        <f t="shared" si="95"/>
        <v>0</v>
      </c>
      <c r="I470" s="47">
        <f t="shared" si="106"/>
        <v>0</v>
      </c>
      <c r="J470" s="47">
        <f t="shared" si="101"/>
        <v>0</v>
      </c>
      <c r="K470" s="50">
        <f t="shared" si="102"/>
        <v>0</v>
      </c>
      <c r="L470" s="63"/>
      <c r="M470" s="67"/>
      <c r="N470" s="51">
        <f t="shared" si="96"/>
        <v>7</v>
      </c>
      <c r="O470" s="19">
        <f t="shared" si="103"/>
        <v>10</v>
      </c>
      <c r="P470" s="20">
        <f t="shared" si="97"/>
        <v>0</v>
      </c>
      <c r="Q470" s="21"/>
      <c r="R470" s="21"/>
      <c r="S470" s="21"/>
      <c r="T470" s="21"/>
      <c r="U470" s="21"/>
      <c r="V470" s="21"/>
      <c r="W470" s="21"/>
      <c r="X470" s="21"/>
      <c r="Y470" s="21"/>
      <c r="Z470" s="21"/>
    </row>
    <row r="471" spans="1:26">
      <c r="A471" s="43">
        <v>464</v>
      </c>
      <c r="B471" s="44" t="str">
        <f t="shared" si="98"/>
        <v>39-й год 8-й мес</v>
      </c>
      <c r="C471" s="45">
        <f t="shared" si="104"/>
        <v>55314</v>
      </c>
      <c r="D471" s="46">
        <f t="shared" si="94"/>
        <v>0</v>
      </c>
      <c r="E471" s="47">
        <f t="shared" si="99"/>
        <v>0</v>
      </c>
      <c r="F471" s="47">
        <f t="shared" si="105"/>
        <v>0</v>
      </c>
      <c r="G471" s="48">
        <f t="shared" si="100"/>
        <v>0</v>
      </c>
      <c r="H471" s="49">
        <f t="shared" si="95"/>
        <v>0</v>
      </c>
      <c r="I471" s="47">
        <f t="shared" si="106"/>
        <v>0</v>
      </c>
      <c r="J471" s="47">
        <f t="shared" si="101"/>
        <v>0</v>
      </c>
      <c r="K471" s="50">
        <f t="shared" si="102"/>
        <v>0</v>
      </c>
      <c r="L471" s="63"/>
      <c r="M471" s="67"/>
      <c r="N471" s="51">
        <f t="shared" si="96"/>
        <v>7</v>
      </c>
      <c r="O471" s="19">
        <f t="shared" si="103"/>
        <v>10</v>
      </c>
      <c r="P471" s="20">
        <f t="shared" si="97"/>
        <v>0</v>
      </c>
      <c r="Q471" s="21"/>
      <c r="R471" s="21"/>
      <c r="S471" s="21"/>
      <c r="T471" s="21"/>
      <c r="U471" s="21"/>
      <c r="V471" s="21"/>
      <c r="W471" s="21"/>
      <c r="X471" s="21"/>
      <c r="Y471" s="21"/>
      <c r="Z471" s="21"/>
    </row>
    <row r="472" spans="1:26">
      <c r="A472" s="43">
        <v>465</v>
      </c>
      <c r="B472" s="44" t="str">
        <f t="shared" si="98"/>
        <v>39-й год 9-й мес</v>
      </c>
      <c r="C472" s="45">
        <f t="shared" si="104"/>
        <v>55344</v>
      </c>
      <c r="D472" s="46">
        <f t="shared" si="94"/>
        <v>0</v>
      </c>
      <c r="E472" s="47">
        <f t="shared" si="99"/>
        <v>0</v>
      </c>
      <c r="F472" s="47">
        <f t="shared" si="105"/>
        <v>0</v>
      </c>
      <c r="G472" s="48">
        <f t="shared" si="100"/>
        <v>0</v>
      </c>
      <c r="H472" s="49">
        <f t="shared" si="95"/>
        <v>0</v>
      </c>
      <c r="I472" s="47">
        <f t="shared" si="106"/>
        <v>0</v>
      </c>
      <c r="J472" s="47">
        <f t="shared" si="101"/>
        <v>0</v>
      </c>
      <c r="K472" s="50">
        <f t="shared" si="102"/>
        <v>0</v>
      </c>
      <c r="L472" s="63"/>
      <c r="M472" s="67"/>
      <c r="N472" s="51">
        <f t="shared" si="96"/>
        <v>7</v>
      </c>
      <c r="O472" s="19">
        <f t="shared" si="103"/>
        <v>10</v>
      </c>
      <c r="P472" s="20">
        <f t="shared" si="97"/>
        <v>0</v>
      </c>
      <c r="Q472" s="21"/>
      <c r="R472" s="21"/>
      <c r="S472" s="21"/>
      <c r="T472" s="21"/>
      <c r="U472" s="21"/>
      <c r="V472" s="21"/>
      <c r="W472" s="21"/>
      <c r="X472" s="21"/>
      <c r="Y472" s="21"/>
      <c r="Z472" s="21"/>
    </row>
    <row r="473" spans="1:26">
      <c r="A473" s="43">
        <v>466</v>
      </c>
      <c r="B473" s="44" t="str">
        <f t="shared" si="98"/>
        <v>39-й год 10-й мес</v>
      </c>
      <c r="C473" s="45">
        <f t="shared" si="104"/>
        <v>55375</v>
      </c>
      <c r="D473" s="46">
        <f t="shared" si="94"/>
        <v>0</v>
      </c>
      <c r="E473" s="47">
        <f t="shared" si="99"/>
        <v>0</v>
      </c>
      <c r="F473" s="47">
        <f t="shared" si="105"/>
        <v>0</v>
      </c>
      <c r="G473" s="48">
        <f t="shared" si="100"/>
        <v>0</v>
      </c>
      <c r="H473" s="49">
        <f t="shared" si="95"/>
        <v>0</v>
      </c>
      <c r="I473" s="47">
        <f t="shared" si="106"/>
        <v>0</v>
      </c>
      <c r="J473" s="47">
        <f t="shared" si="101"/>
        <v>0</v>
      </c>
      <c r="K473" s="50">
        <f t="shared" si="102"/>
        <v>0</v>
      </c>
      <c r="L473" s="63"/>
      <c r="M473" s="67"/>
      <c r="N473" s="51">
        <f t="shared" si="96"/>
        <v>7</v>
      </c>
      <c r="O473" s="19">
        <f t="shared" si="103"/>
        <v>10</v>
      </c>
      <c r="P473" s="20">
        <f t="shared" si="97"/>
        <v>0</v>
      </c>
      <c r="Q473" s="21"/>
      <c r="R473" s="21"/>
      <c r="S473" s="21"/>
      <c r="T473" s="21"/>
      <c r="U473" s="21"/>
      <c r="V473" s="21"/>
      <c r="W473" s="21"/>
      <c r="X473" s="21"/>
      <c r="Y473" s="21"/>
      <c r="Z473" s="21"/>
    </row>
    <row r="474" spans="1:26">
      <c r="A474" s="43">
        <v>467</v>
      </c>
      <c r="B474" s="44" t="str">
        <f t="shared" si="98"/>
        <v>39-й год 11-й мес</v>
      </c>
      <c r="C474" s="45">
        <f t="shared" si="104"/>
        <v>55406</v>
      </c>
      <c r="D474" s="46">
        <f t="shared" si="94"/>
        <v>0</v>
      </c>
      <c r="E474" s="47">
        <f t="shared" si="99"/>
        <v>0</v>
      </c>
      <c r="F474" s="47">
        <f t="shared" si="105"/>
        <v>0</v>
      </c>
      <c r="G474" s="48">
        <f t="shared" si="100"/>
        <v>0</v>
      </c>
      <c r="H474" s="49">
        <f t="shared" si="95"/>
        <v>0</v>
      </c>
      <c r="I474" s="47">
        <f t="shared" si="106"/>
        <v>0</v>
      </c>
      <c r="J474" s="47">
        <f t="shared" si="101"/>
        <v>0</v>
      </c>
      <c r="K474" s="50">
        <f t="shared" si="102"/>
        <v>0</v>
      </c>
      <c r="L474" s="63"/>
      <c r="M474" s="67"/>
      <c r="N474" s="51">
        <f t="shared" si="96"/>
        <v>7</v>
      </c>
      <c r="O474" s="19">
        <f t="shared" si="103"/>
        <v>10</v>
      </c>
      <c r="P474" s="20">
        <f t="shared" si="97"/>
        <v>0</v>
      </c>
      <c r="Q474" s="21"/>
      <c r="R474" s="21"/>
      <c r="S474" s="21"/>
      <c r="T474" s="21"/>
      <c r="U474" s="21"/>
      <c r="V474" s="21"/>
      <c r="W474" s="21"/>
      <c r="X474" s="21"/>
      <c r="Y474" s="21"/>
      <c r="Z474" s="21"/>
    </row>
    <row r="475" spans="1:26">
      <c r="A475" s="43">
        <v>468</v>
      </c>
      <c r="B475" s="44" t="str">
        <f t="shared" si="98"/>
        <v>39-й год 12-й мес</v>
      </c>
      <c r="C475" s="45">
        <f t="shared" si="104"/>
        <v>55436</v>
      </c>
      <c r="D475" s="46">
        <f t="shared" si="94"/>
        <v>0</v>
      </c>
      <c r="E475" s="47">
        <f t="shared" si="99"/>
        <v>0</v>
      </c>
      <c r="F475" s="47">
        <f t="shared" si="105"/>
        <v>0</v>
      </c>
      <c r="G475" s="48">
        <f t="shared" si="100"/>
        <v>0</v>
      </c>
      <c r="H475" s="49">
        <f t="shared" si="95"/>
        <v>0</v>
      </c>
      <c r="I475" s="47">
        <f t="shared" si="106"/>
        <v>0</v>
      </c>
      <c r="J475" s="47">
        <f t="shared" si="101"/>
        <v>0</v>
      </c>
      <c r="K475" s="50">
        <f t="shared" si="102"/>
        <v>0</v>
      </c>
      <c r="L475" s="63"/>
      <c r="M475" s="67"/>
      <c r="N475" s="51">
        <f t="shared" si="96"/>
        <v>7</v>
      </c>
      <c r="O475" s="19">
        <f t="shared" si="103"/>
        <v>10</v>
      </c>
      <c r="P475" s="20">
        <f t="shared" si="97"/>
        <v>0</v>
      </c>
      <c r="Q475" s="21"/>
      <c r="R475" s="21"/>
      <c r="S475" s="21"/>
      <c r="T475" s="21"/>
      <c r="U475" s="21"/>
      <c r="V475" s="21"/>
      <c r="W475" s="21"/>
      <c r="X475" s="21"/>
      <c r="Y475" s="21"/>
      <c r="Z475" s="21"/>
    </row>
    <row r="476" spans="1:26">
      <c r="A476" s="52">
        <v>469</v>
      </c>
      <c r="B476" s="44" t="str">
        <f t="shared" si="98"/>
        <v>40-й год 1-й мес</v>
      </c>
      <c r="C476" s="45">
        <f t="shared" si="104"/>
        <v>55467</v>
      </c>
      <c r="D476" s="46">
        <f t="shared" si="94"/>
        <v>0</v>
      </c>
      <c r="E476" s="53">
        <f t="shared" si="99"/>
        <v>0</v>
      </c>
      <c r="F476" s="47">
        <f t="shared" si="105"/>
        <v>0</v>
      </c>
      <c r="G476" s="54">
        <f t="shared" si="100"/>
        <v>0</v>
      </c>
      <c r="H476" s="55">
        <f t="shared" si="95"/>
        <v>0</v>
      </c>
      <c r="I476" s="53">
        <f t="shared" si="106"/>
        <v>0</v>
      </c>
      <c r="J476" s="53">
        <f t="shared" si="101"/>
        <v>0</v>
      </c>
      <c r="K476" s="56">
        <f t="shared" si="102"/>
        <v>0</v>
      </c>
      <c r="L476" s="65"/>
      <c r="M476" s="64"/>
      <c r="N476" s="51">
        <f t="shared" si="96"/>
        <v>7</v>
      </c>
      <c r="O476" s="19">
        <f t="shared" si="103"/>
        <v>10</v>
      </c>
      <c r="P476" s="20">
        <f t="shared" si="97"/>
        <v>0</v>
      </c>
      <c r="Q476" s="21"/>
      <c r="R476" s="21"/>
      <c r="S476" s="21"/>
      <c r="T476" s="21"/>
      <c r="U476" s="21"/>
      <c r="V476" s="21"/>
      <c r="W476" s="21"/>
      <c r="X476" s="21"/>
      <c r="Y476" s="21"/>
      <c r="Z476" s="21"/>
    </row>
    <row r="477" spans="1:26">
      <c r="A477" s="57">
        <v>470</v>
      </c>
      <c r="B477" s="44" t="str">
        <f t="shared" si="98"/>
        <v>40-й год 2-й мес</v>
      </c>
      <c r="C477" s="45">
        <f t="shared" si="104"/>
        <v>55497</v>
      </c>
      <c r="D477" s="46">
        <f t="shared" si="94"/>
        <v>0</v>
      </c>
      <c r="E477" s="47">
        <f t="shared" si="99"/>
        <v>0</v>
      </c>
      <c r="F477" s="47">
        <f t="shared" si="105"/>
        <v>0</v>
      </c>
      <c r="G477" s="48">
        <f t="shared" si="100"/>
        <v>0</v>
      </c>
      <c r="H477" s="49">
        <f t="shared" si="95"/>
        <v>0</v>
      </c>
      <c r="I477" s="47">
        <f t="shared" si="106"/>
        <v>0</v>
      </c>
      <c r="J477" s="47">
        <f t="shared" si="101"/>
        <v>0</v>
      </c>
      <c r="K477" s="50">
        <f t="shared" si="102"/>
        <v>0</v>
      </c>
      <c r="L477" s="63"/>
      <c r="M477" s="67"/>
      <c r="N477" s="51">
        <f t="shared" si="96"/>
        <v>7</v>
      </c>
      <c r="O477" s="19">
        <f t="shared" si="103"/>
        <v>10</v>
      </c>
      <c r="P477" s="20">
        <f t="shared" si="97"/>
        <v>0</v>
      </c>
      <c r="Q477" s="21"/>
      <c r="R477" s="21"/>
      <c r="S477" s="21"/>
      <c r="T477" s="21"/>
      <c r="U477" s="21"/>
      <c r="V477" s="21"/>
      <c r="W477" s="21"/>
      <c r="X477" s="21"/>
      <c r="Y477" s="21"/>
      <c r="Z477" s="21"/>
    </row>
    <row r="478" spans="1:26">
      <c r="A478" s="57">
        <v>471</v>
      </c>
      <c r="B478" s="44" t="str">
        <f t="shared" si="98"/>
        <v>40-й год 3-й мес</v>
      </c>
      <c r="C478" s="45">
        <f t="shared" si="104"/>
        <v>55528</v>
      </c>
      <c r="D478" s="46">
        <f t="shared" si="94"/>
        <v>0</v>
      </c>
      <c r="E478" s="47">
        <f t="shared" si="99"/>
        <v>0</v>
      </c>
      <c r="F478" s="47">
        <f t="shared" si="105"/>
        <v>0</v>
      </c>
      <c r="G478" s="48">
        <f t="shared" si="100"/>
        <v>0</v>
      </c>
      <c r="H478" s="49">
        <f t="shared" si="95"/>
        <v>0</v>
      </c>
      <c r="I478" s="47">
        <f t="shared" si="106"/>
        <v>0</v>
      </c>
      <c r="J478" s="47">
        <f t="shared" si="101"/>
        <v>0</v>
      </c>
      <c r="K478" s="50">
        <f t="shared" si="102"/>
        <v>0</v>
      </c>
      <c r="L478" s="63"/>
      <c r="M478" s="67"/>
      <c r="N478" s="51">
        <f t="shared" si="96"/>
        <v>7</v>
      </c>
      <c r="O478" s="19">
        <f t="shared" si="103"/>
        <v>10</v>
      </c>
      <c r="P478" s="20">
        <f t="shared" si="97"/>
        <v>0</v>
      </c>
      <c r="Q478" s="21"/>
      <c r="R478" s="21"/>
      <c r="S478" s="21"/>
      <c r="T478" s="21"/>
      <c r="U478" s="21"/>
      <c r="V478" s="21"/>
      <c r="W478" s="21"/>
      <c r="X478" s="21"/>
      <c r="Y478" s="21"/>
      <c r="Z478" s="21"/>
    </row>
    <row r="479" spans="1:26">
      <c r="A479" s="57">
        <v>472</v>
      </c>
      <c r="B479" s="44" t="str">
        <f t="shared" si="98"/>
        <v>40-й год 4-й мес</v>
      </c>
      <c r="C479" s="45">
        <f t="shared" si="104"/>
        <v>55559</v>
      </c>
      <c r="D479" s="46">
        <f t="shared" si="94"/>
        <v>0</v>
      </c>
      <c r="E479" s="47">
        <f t="shared" si="99"/>
        <v>0</v>
      </c>
      <c r="F479" s="47">
        <f t="shared" si="105"/>
        <v>0</v>
      </c>
      <c r="G479" s="48">
        <f t="shared" si="100"/>
        <v>0</v>
      </c>
      <c r="H479" s="49">
        <f t="shared" si="95"/>
        <v>0</v>
      </c>
      <c r="I479" s="47">
        <f t="shared" si="106"/>
        <v>0</v>
      </c>
      <c r="J479" s="47">
        <f t="shared" si="101"/>
        <v>0</v>
      </c>
      <c r="K479" s="50">
        <f t="shared" si="102"/>
        <v>0</v>
      </c>
      <c r="L479" s="63"/>
      <c r="M479" s="67"/>
      <c r="N479" s="51">
        <f t="shared" si="96"/>
        <v>7</v>
      </c>
      <c r="O479" s="19">
        <f t="shared" si="103"/>
        <v>10</v>
      </c>
      <c r="P479" s="20">
        <f t="shared" si="97"/>
        <v>0</v>
      </c>
      <c r="Q479" s="21"/>
      <c r="R479" s="21"/>
      <c r="S479" s="21"/>
      <c r="T479" s="21"/>
      <c r="U479" s="21"/>
      <c r="V479" s="21"/>
      <c r="W479" s="21"/>
      <c r="X479" s="21"/>
      <c r="Y479" s="21"/>
      <c r="Z479" s="21"/>
    </row>
    <row r="480" spans="1:26">
      <c r="A480" s="57">
        <v>473</v>
      </c>
      <c r="B480" s="44" t="str">
        <f t="shared" si="98"/>
        <v>40-й год 5-й мес</v>
      </c>
      <c r="C480" s="45">
        <f t="shared" si="104"/>
        <v>55588</v>
      </c>
      <c r="D480" s="46">
        <f t="shared" si="94"/>
        <v>0</v>
      </c>
      <c r="E480" s="47">
        <f t="shared" si="99"/>
        <v>0</v>
      </c>
      <c r="F480" s="47">
        <f t="shared" si="105"/>
        <v>0</v>
      </c>
      <c r="G480" s="48">
        <f t="shared" si="100"/>
        <v>0</v>
      </c>
      <c r="H480" s="49">
        <f t="shared" si="95"/>
        <v>0</v>
      </c>
      <c r="I480" s="47">
        <f t="shared" si="106"/>
        <v>0</v>
      </c>
      <c r="J480" s="47">
        <f t="shared" si="101"/>
        <v>0</v>
      </c>
      <c r="K480" s="50">
        <f t="shared" si="102"/>
        <v>0</v>
      </c>
      <c r="L480" s="63"/>
      <c r="M480" s="67"/>
      <c r="N480" s="51">
        <f t="shared" si="96"/>
        <v>7</v>
      </c>
      <c r="O480" s="19">
        <f t="shared" si="103"/>
        <v>10</v>
      </c>
      <c r="P480" s="20">
        <f t="shared" si="97"/>
        <v>0</v>
      </c>
      <c r="Q480" s="21"/>
      <c r="R480" s="21"/>
      <c r="S480" s="21"/>
      <c r="T480" s="21"/>
      <c r="U480" s="21"/>
      <c r="V480" s="21"/>
      <c r="W480" s="21"/>
      <c r="X480" s="21"/>
      <c r="Y480" s="21"/>
      <c r="Z480" s="21"/>
    </row>
    <row r="481" spans="1:26">
      <c r="A481" s="57">
        <v>474</v>
      </c>
      <c r="B481" s="44" t="str">
        <f t="shared" si="98"/>
        <v>40-й год 6-й мес</v>
      </c>
      <c r="C481" s="45">
        <f t="shared" si="104"/>
        <v>55619</v>
      </c>
      <c r="D481" s="46">
        <f t="shared" si="94"/>
        <v>0</v>
      </c>
      <c r="E481" s="47">
        <f t="shared" si="99"/>
        <v>0</v>
      </c>
      <c r="F481" s="47">
        <f t="shared" si="105"/>
        <v>0</v>
      </c>
      <c r="G481" s="48">
        <f t="shared" si="100"/>
        <v>0</v>
      </c>
      <c r="H481" s="49">
        <f t="shared" si="95"/>
        <v>0</v>
      </c>
      <c r="I481" s="47">
        <f t="shared" si="106"/>
        <v>0</v>
      </c>
      <c r="J481" s="47">
        <f t="shared" si="101"/>
        <v>0</v>
      </c>
      <c r="K481" s="50">
        <f t="shared" si="102"/>
        <v>0</v>
      </c>
      <c r="L481" s="63"/>
      <c r="M481" s="67"/>
      <c r="N481" s="51">
        <f t="shared" si="96"/>
        <v>7</v>
      </c>
      <c r="O481" s="19">
        <f t="shared" si="103"/>
        <v>10</v>
      </c>
      <c r="P481" s="20">
        <f t="shared" si="97"/>
        <v>0</v>
      </c>
      <c r="Q481" s="21"/>
      <c r="R481" s="21"/>
      <c r="S481" s="21"/>
      <c r="T481" s="21"/>
      <c r="U481" s="21"/>
      <c r="V481" s="21"/>
      <c r="W481" s="21"/>
      <c r="X481" s="21"/>
      <c r="Y481" s="21"/>
      <c r="Z481" s="21"/>
    </row>
    <row r="482" spans="1:26">
      <c r="A482" s="57">
        <v>475</v>
      </c>
      <c r="B482" s="44" t="str">
        <f t="shared" si="98"/>
        <v>40-й год 7-й мес</v>
      </c>
      <c r="C482" s="45">
        <f t="shared" si="104"/>
        <v>55649</v>
      </c>
      <c r="D482" s="46">
        <f t="shared" si="94"/>
        <v>0</v>
      </c>
      <c r="E482" s="47">
        <f t="shared" si="99"/>
        <v>0</v>
      </c>
      <c r="F482" s="47">
        <f t="shared" si="105"/>
        <v>0</v>
      </c>
      <c r="G482" s="48">
        <f t="shared" si="100"/>
        <v>0</v>
      </c>
      <c r="H482" s="49">
        <f t="shared" si="95"/>
        <v>0</v>
      </c>
      <c r="I482" s="47">
        <f t="shared" si="106"/>
        <v>0</v>
      </c>
      <c r="J482" s="47">
        <f t="shared" si="101"/>
        <v>0</v>
      </c>
      <c r="K482" s="50">
        <f t="shared" si="102"/>
        <v>0</v>
      </c>
      <c r="L482" s="63"/>
      <c r="M482" s="67"/>
      <c r="N482" s="51">
        <f t="shared" si="96"/>
        <v>7</v>
      </c>
      <c r="O482" s="19">
        <f t="shared" si="103"/>
        <v>10</v>
      </c>
      <c r="P482" s="20">
        <f t="shared" si="97"/>
        <v>0</v>
      </c>
      <c r="Q482" s="21"/>
      <c r="R482" s="21"/>
      <c r="S482" s="21"/>
      <c r="T482" s="21"/>
      <c r="U482" s="21"/>
      <c r="V482" s="21"/>
      <c r="W482" s="21"/>
      <c r="X482" s="21"/>
      <c r="Y482" s="21"/>
      <c r="Z482" s="21"/>
    </row>
    <row r="483" spans="1:26">
      <c r="A483" s="57">
        <v>476</v>
      </c>
      <c r="B483" s="44" t="str">
        <f t="shared" si="98"/>
        <v>40-й год 8-й мес</v>
      </c>
      <c r="C483" s="45">
        <f t="shared" si="104"/>
        <v>55680</v>
      </c>
      <c r="D483" s="46">
        <f t="shared" si="94"/>
        <v>0</v>
      </c>
      <c r="E483" s="47">
        <f t="shared" si="99"/>
        <v>0</v>
      </c>
      <c r="F483" s="47">
        <f t="shared" si="105"/>
        <v>0</v>
      </c>
      <c r="G483" s="48">
        <f t="shared" si="100"/>
        <v>0</v>
      </c>
      <c r="H483" s="49">
        <f t="shared" si="95"/>
        <v>0</v>
      </c>
      <c r="I483" s="47">
        <f t="shared" si="106"/>
        <v>0</v>
      </c>
      <c r="J483" s="47">
        <f t="shared" si="101"/>
        <v>0</v>
      </c>
      <c r="K483" s="50">
        <f t="shared" si="102"/>
        <v>0</v>
      </c>
      <c r="L483" s="63"/>
      <c r="M483" s="67"/>
      <c r="N483" s="51">
        <f t="shared" si="96"/>
        <v>7</v>
      </c>
      <c r="O483" s="19">
        <f t="shared" si="103"/>
        <v>10</v>
      </c>
      <c r="P483" s="20">
        <f t="shared" si="97"/>
        <v>0</v>
      </c>
      <c r="Q483" s="21"/>
      <c r="R483" s="21"/>
      <c r="S483" s="21"/>
      <c r="T483" s="21"/>
      <c r="U483" s="21"/>
      <c r="V483" s="21"/>
      <c r="W483" s="21"/>
      <c r="X483" s="21"/>
      <c r="Y483" s="21"/>
      <c r="Z483" s="21"/>
    </row>
    <row r="484" spans="1:26">
      <c r="A484" s="57">
        <v>477</v>
      </c>
      <c r="B484" s="44" t="str">
        <f t="shared" si="98"/>
        <v>40-й год 9-й мес</v>
      </c>
      <c r="C484" s="45">
        <f t="shared" si="104"/>
        <v>55710</v>
      </c>
      <c r="D484" s="46">
        <f t="shared" si="94"/>
        <v>0</v>
      </c>
      <c r="E484" s="47">
        <f t="shared" si="99"/>
        <v>0</v>
      </c>
      <c r="F484" s="47">
        <f t="shared" si="105"/>
        <v>0</v>
      </c>
      <c r="G484" s="48">
        <f t="shared" si="100"/>
        <v>0</v>
      </c>
      <c r="H484" s="49">
        <f t="shared" si="95"/>
        <v>0</v>
      </c>
      <c r="I484" s="47">
        <f t="shared" si="106"/>
        <v>0</v>
      </c>
      <c r="J484" s="47">
        <f t="shared" si="101"/>
        <v>0</v>
      </c>
      <c r="K484" s="50">
        <f t="shared" si="102"/>
        <v>0</v>
      </c>
      <c r="L484" s="63"/>
      <c r="M484" s="67"/>
      <c r="N484" s="51">
        <f t="shared" si="96"/>
        <v>7</v>
      </c>
      <c r="O484" s="19">
        <f t="shared" si="103"/>
        <v>10</v>
      </c>
      <c r="P484" s="20">
        <f t="shared" si="97"/>
        <v>0</v>
      </c>
      <c r="Q484" s="21"/>
      <c r="R484" s="21"/>
      <c r="S484" s="21"/>
      <c r="T484" s="21"/>
      <c r="U484" s="21"/>
      <c r="V484" s="21"/>
      <c r="W484" s="21"/>
      <c r="X484" s="21"/>
      <c r="Y484" s="21"/>
      <c r="Z484" s="21"/>
    </row>
    <row r="485" spans="1:26">
      <c r="A485" s="57">
        <v>478</v>
      </c>
      <c r="B485" s="44" t="str">
        <f t="shared" si="98"/>
        <v>40-й год 10-й мес</v>
      </c>
      <c r="C485" s="45">
        <f t="shared" si="104"/>
        <v>55741</v>
      </c>
      <c r="D485" s="46">
        <f t="shared" si="94"/>
        <v>0</v>
      </c>
      <c r="E485" s="47">
        <f t="shared" si="99"/>
        <v>0</v>
      </c>
      <c r="F485" s="47">
        <f t="shared" si="105"/>
        <v>0</v>
      </c>
      <c r="G485" s="48">
        <f t="shared" si="100"/>
        <v>0</v>
      </c>
      <c r="H485" s="49">
        <f t="shared" si="95"/>
        <v>0</v>
      </c>
      <c r="I485" s="47">
        <f t="shared" si="106"/>
        <v>0</v>
      </c>
      <c r="J485" s="47">
        <f t="shared" si="101"/>
        <v>0</v>
      </c>
      <c r="K485" s="50">
        <f t="shared" si="102"/>
        <v>0</v>
      </c>
      <c r="L485" s="63"/>
      <c r="M485" s="67"/>
      <c r="N485" s="51">
        <f t="shared" si="96"/>
        <v>7</v>
      </c>
      <c r="O485" s="19">
        <f t="shared" si="103"/>
        <v>10</v>
      </c>
      <c r="P485" s="20">
        <f t="shared" si="97"/>
        <v>0</v>
      </c>
      <c r="Q485" s="21"/>
      <c r="R485" s="21"/>
      <c r="S485" s="21"/>
      <c r="T485" s="21"/>
      <c r="U485" s="21"/>
      <c r="V485" s="21"/>
      <c r="W485" s="21"/>
      <c r="X485" s="21"/>
      <c r="Y485" s="21"/>
      <c r="Z485" s="21"/>
    </row>
    <row r="486" spans="1:26">
      <c r="A486" s="57">
        <v>479</v>
      </c>
      <c r="B486" s="44" t="str">
        <f t="shared" si="98"/>
        <v>40-й год 11-й мес</v>
      </c>
      <c r="C486" s="45">
        <f t="shared" si="104"/>
        <v>55772</v>
      </c>
      <c r="D486" s="46">
        <f t="shared" si="94"/>
        <v>0</v>
      </c>
      <c r="E486" s="47">
        <f t="shared" si="99"/>
        <v>0</v>
      </c>
      <c r="F486" s="47">
        <f t="shared" si="105"/>
        <v>0</v>
      </c>
      <c r="G486" s="48">
        <f t="shared" si="100"/>
        <v>0</v>
      </c>
      <c r="H486" s="49">
        <f t="shared" si="95"/>
        <v>0</v>
      </c>
      <c r="I486" s="47">
        <f t="shared" si="106"/>
        <v>0</v>
      </c>
      <c r="J486" s="47">
        <f t="shared" si="101"/>
        <v>0</v>
      </c>
      <c r="K486" s="50">
        <f t="shared" si="102"/>
        <v>0</v>
      </c>
      <c r="L486" s="63"/>
      <c r="M486" s="67"/>
      <c r="N486" s="51">
        <f t="shared" si="96"/>
        <v>7</v>
      </c>
      <c r="O486" s="19">
        <f t="shared" si="103"/>
        <v>10</v>
      </c>
      <c r="P486" s="20">
        <f t="shared" si="97"/>
        <v>0</v>
      </c>
      <c r="Q486" s="21"/>
      <c r="R486" s="21"/>
      <c r="S486" s="21"/>
      <c r="T486" s="21"/>
      <c r="U486" s="21"/>
      <c r="V486" s="21"/>
      <c r="W486" s="21"/>
      <c r="X486" s="21"/>
      <c r="Y486" s="21"/>
      <c r="Z486" s="21"/>
    </row>
    <row r="487" spans="1:26">
      <c r="A487" s="58">
        <v>480</v>
      </c>
      <c r="B487" s="44" t="str">
        <f t="shared" si="98"/>
        <v>40-й год 12-й мес</v>
      </c>
      <c r="C487" s="45">
        <f t="shared" si="104"/>
        <v>55802</v>
      </c>
      <c r="D487" s="46">
        <f t="shared" si="94"/>
        <v>0</v>
      </c>
      <c r="E487" s="59">
        <f t="shared" si="99"/>
        <v>0</v>
      </c>
      <c r="F487" s="47">
        <f t="shared" si="105"/>
        <v>0</v>
      </c>
      <c r="G487" s="60">
        <f t="shared" si="100"/>
        <v>0</v>
      </c>
      <c r="H487" s="61">
        <f t="shared" si="95"/>
        <v>0</v>
      </c>
      <c r="I487" s="59">
        <f t="shared" si="106"/>
        <v>0</v>
      </c>
      <c r="J487" s="59">
        <f t="shared" si="101"/>
        <v>0</v>
      </c>
      <c r="K487" s="62">
        <f t="shared" si="102"/>
        <v>0</v>
      </c>
      <c r="L487" s="66"/>
      <c r="M487" s="68"/>
      <c r="N487" s="51">
        <f t="shared" si="96"/>
        <v>7</v>
      </c>
      <c r="O487" s="19">
        <f t="shared" si="103"/>
        <v>10</v>
      </c>
      <c r="P487" s="20">
        <f t="shared" si="97"/>
        <v>0</v>
      </c>
      <c r="Q487" s="21"/>
      <c r="R487" s="21"/>
      <c r="S487" s="21"/>
      <c r="T487" s="21"/>
      <c r="U487" s="21"/>
      <c r="V487" s="21"/>
      <c r="W487" s="21"/>
      <c r="X487" s="21"/>
      <c r="Y487" s="21"/>
      <c r="Z487" s="21"/>
    </row>
    <row r="488" spans="1:26">
      <c r="A488" s="43">
        <v>481</v>
      </c>
      <c r="B488" s="44" t="str">
        <f t="shared" si="98"/>
        <v>41-й год 1-й мес</v>
      </c>
      <c r="C488" s="45">
        <f t="shared" si="104"/>
        <v>55833</v>
      </c>
      <c r="D488" s="46">
        <f t="shared" si="94"/>
        <v>0</v>
      </c>
      <c r="E488" s="47">
        <f t="shared" si="99"/>
        <v>0</v>
      </c>
      <c r="F488" s="47">
        <f t="shared" si="105"/>
        <v>0</v>
      </c>
      <c r="G488" s="48">
        <f t="shared" si="100"/>
        <v>0</v>
      </c>
      <c r="H488" s="49">
        <f t="shared" si="95"/>
        <v>0</v>
      </c>
      <c r="I488" s="47">
        <f t="shared" si="106"/>
        <v>0</v>
      </c>
      <c r="J488" s="47">
        <f t="shared" si="101"/>
        <v>0</v>
      </c>
      <c r="K488" s="50">
        <f t="shared" si="102"/>
        <v>0</v>
      </c>
      <c r="L488" s="63"/>
      <c r="M488" s="67"/>
      <c r="N488" s="51">
        <f t="shared" si="96"/>
        <v>7</v>
      </c>
      <c r="O488" s="19">
        <f t="shared" si="103"/>
        <v>10</v>
      </c>
      <c r="P488" s="20">
        <f t="shared" si="97"/>
        <v>0</v>
      </c>
      <c r="Q488" s="21"/>
      <c r="R488" s="21"/>
      <c r="S488" s="21"/>
      <c r="T488" s="21"/>
      <c r="U488" s="21"/>
      <c r="V488" s="21"/>
      <c r="W488" s="21"/>
      <c r="X488" s="21"/>
      <c r="Y488" s="21"/>
      <c r="Z488" s="21"/>
    </row>
    <row r="489" spans="1:26">
      <c r="A489" s="43">
        <v>482</v>
      </c>
      <c r="B489" s="44" t="str">
        <f t="shared" si="98"/>
        <v>41-й год 2-й мес</v>
      </c>
      <c r="C489" s="45">
        <f t="shared" si="104"/>
        <v>55863</v>
      </c>
      <c r="D489" s="46">
        <f t="shared" si="94"/>
        <v>0</v>
      </c>
      <c r="E489" s="47">
        <f t="shared" si="99"/>
        <v>0</v>
      </c>
      <c r="F489" s="47">
        <f t="shared" si="105"/>
        <v>0</v>
      </c>
      <c r="G489" s="48">
        <f t="shared" si="100"/>
        <v>0</v>
      </c>
      <c r="H489" s="49">
        <f t="shared" si="95"/>
        <v>0</v>
      </c>
      <c r="I489" s="47">
        <f t="shared" si="106"/>
        <v>0</v>
      </c>
      <c r="J489" s="47">
        <f t="shared" si="101"/>
        <v>0</v>
      </c>
      <c r="K489" s="50">
        <f t="shared" si="102"/>
        <v>0</v>
      </c>
      <c r="L489" s="63"/>
      <c r="M489" s="67"/>
      <c r="N489" s="51">
        <f t="shared" si="96"/>
        <v>7</v>
      </c>
      <c r="O489" s="19">
        <f t="shared" si="103"/>
        <v>10</v>
      </c>
      <c r="P489" s="20">
        <f t="shared" si="97"/>
        <v>0</v>
      </c>
      <c r="Q489" s="21"/>
      <c r="R489" s="21"/>
      <c r="S489" s="21"/>
      <c r="T489" s="21"/>
      <c r="U489" s="21"/>
      <c r="V489" s="21"/>
      <c r="W489" s="21"/>
      <c r="X489" s="21"/>
      <c r="Y489" s="21"/>
      <c r="Z489" s="21"/>
    </row>
    <row r="490" spans="1:26">
      <c r="A490" s="43">
        <v>483</v>
      </c>
      <c r="B490" s="44" t="str">
        <f t="shared" si="98"/>
        <v>41-й год 3-й мес</v>
      </c>
      <c r="C490" s="45">
        <f t="shared" si="104"/>
        <v>55894</v>
      </c>
      <c r="D490" s="46">
        <f t="shared" si="94"/>
        <v>0</v>
      </c>
      <c r="E490" s="47">
        <f t="shared" si="99"/>
        <v>0</v>
      </c>
      <c r="F490" s="47">
        <f t="shared" si="105"/>
        <v>0</v>
      </c>
      <c r="G490" s="48">
        <f t="shared" si="100"/>
        <v>0</v>
      </c>
      <c r="H490" s="49">
        <f t="shared" si="95"/>
        <v>0</v>
      </c>
      <c r="I490" s="47">
        <f t="shared" si="106"/>
        <v>0</v>
      </c>
      <c r="J490" s="47">
        <f t="shared" si="101"/>
        <v>0</v>
      </c>
      <c r="K490" s="50">
        <f t="shared" si="102"/>
        <v>0</v>
      </c>
      <c r="L490" s="63"/>
      <c r="M490" s="67"/>
      <c r="N490" s="51">
        <f t="shared" si="96"/>
        <v>7</v>
      </c>
      <c r="O490" s="19">
        <f t="shared" si="103"/>
        <v>10</v>
      </c>
      <c r="P490" s="20">
        <f t="shared" si="97"/>
        <v>0</v>
      </c>
      <c r="Q490" s="21"/>
      <c r="R490" s="21"/>
      <c r="S490" s="21"/>
      <c r="T490" s="21"/>
      <c r="U490" s="21"/>
      <c r="V490" s="21"/>
      <c r="W490" s="21"/>
      <c r="X490" s="21"/>
      <c r="Y490" s="21"/>
      <c r="Z490" s="21"/>
    </row>
    <row r="491" spans="1:26">
      <c r="A491" s="43">
        <v>484</v>
      </c>
      <c r="B491" s="44" t="str">
        <f t="shared" si="98"/>
        <v>41-й год 4-й мес</v>
      </c>
      <c r="C491" s="45">
        <f t="shared" si="104"/>
        <v>55925</v>
      </c>
      <c r="D491" s="46">
        <f t="shared" si="94"/>
        <v>0</v>
      </c>
      <c r="E491" s="47">
        <f t="shared" si="99"/>
        <v>0</v>
      </c>
      <c r="F491" s="47">
        <f t="shared" si="105"/>
        <v>0</v>
      </c>
      <c r="G491" s="48">
        <f t="shared" si="100"/>
        <v>0</v>
      </c>
      <c r="H491" s="49">
        <f t="shared" si="95"/>
        <v>0</v>
      </c>
      <c r="I491" s="47">
        <f t="shared" si="106"/>
        <v>0</v>
      </c>
      <c r="J491" s="47">
        <f t="shared" si="101"/>
        <v>0</v>
      </c>
      <c r="K491" s="50">
        <f t="shared" si="102"/>
        <v>0</v>
      </c>
      <c r="L491" s="63"/>
      <c r="M491" s="67"/>
      <c r="N491" s="51">
        <f t="shared" si="96"/>
        <v>7</v>
      </c>
      <c r="O491" s="19">
        <f t="shared" si="103"/>
        <v>10</v>
      </c>
      <c r="P491" s="20">
        <f t="shared" si="97"/>
        <v>0</v>
      </c>
      <c r="Q491" s="21"/>
      <c r="R491" s="21"/>
      <c r="S491" s="21"/>
      <c r="T491" s="21"/>
      <c r="U491" s="21"/>
      <c r="V491" s="21"/>
      <c r="W491" s="21"/>
      <c r="X491" s="21"/>
      <c r="Y491" s="21"/>
      <c r="Z491" s="21"/>
    </row>
    <row r="492" spans="1:26">
      <c r="A492" s="43">
        <v>485</v>
      </c>
      <c r="B492" s="44" t="str">
        <f t="shared" si="98"/>
        <v>41-й год 5-й мес</v>
      </c>
      <c r="C492" s="45">
        <f t="shared" si="104"/>
        <v>55953</v>
      </c>
      <c r="D492" s="46">
        <f t="shared" si="94"/>
        <v>0</v>
      </c>
      <c r="E492" s="47">
        <f t="shared" si="99"/>
        <v>0</v>
      </c>
      <c r="F492" s="47">
        <f t="shared" si="105"/>
        <v>0</v>
      </c>
      <c r="G492" s="48">
        <f t="shared" si="100"/>
        <v>0</v>
      </c>
      <c r="H492" s="49">
        <f t="shared" si="95"/>
        <v>0</v>
      </c>
      <c r="I492" s="47">
        <f t="shared" si="106"/>
        <v>0</v>
      </c>
      <c r="J492" s="47">
        <f t="shared" si="101"/>
        <v>0</v>
      </c>
      <c r="K492" s="50">
        <f t="shared" si="102"/>
        <v>0</v>
      </c>
      <c r="L492" s="63"/>
      <c r="M492" s="67"/>
      <c r="N492" s="51">
        <f t="shared" si="96"/>
        <v>7</v>
      </c>
      <c r="O492" s="19">
        <f t="shared" si="103"/>
        <v>10</v>
      </c>
      <c r="P492" s="20">
        <f t="shared" si="97"/>
        <v>0</v>
      </c>
      <c r="Q492" s="21"/>
      <c r="R492" s="21"/>
      <c r="S492" s="21"/>
      <c r="T492" s="21"/>
      <c r="U492" s="21"/>
      <c r="V492" s="21"/>
      <c r="W492" s="21"/>
      <c r="X492" s="21"/>
      <c r="Y492" s="21"/>
      <c r="Z492" s="21"/>
    </row>
    <row r="493" spans="1:26">
      <c r="A493" s="43">
        <v>486</v>
      </c>
      <c r="B493" s="44" t="str">
        <f t="shared" si="98"/>
        <v>41-й год 6-й мес</v>
      </c>
      <c r="C493" s="45">
        <f t="shared" si="104"/>
        <v>55984</v>
      </c>
      <c r="D493" s="46">
        <f t="shared" si="94"/>
        <v>0</v>
      </c>
      <c r="E493" s="47">
        <f t="shared" si="99"/>
        <v>0</v>
      </c>
      <c r="F493" s="47">
        <f t="shared" si="105"/>
        <v>0</v>
      </c>
      <c r="G493" s="48">
        <f t="shared" si="100"/>
        <v>0</v>
      </c>
      <c r="H493" s="49">
        <f t="shared" si="95"/>
        <v>0</v>
      </c>
      <c r="I493" s="47">
        <f t="shared" si="106"/>
        <v>0</v>
      </c>
      <c r="J493" s="47">
        <f t="shared" si="101"/>
        <v>0</v>
      </c>
      <c r="K493" s="50">
        <f t="shared" si="102"/>
        <v>0</v>
      </c>
      <c r="L493" s="63"/>
      <c r="M493" s="67"/>
      <c r="N493" s="51">
        <f t="shared" si="96"/>
        <v>7</v>
      </c>
      <c r="O493" s="19">
        <f t="shared" si="103"/>
        <v>10</v>
      </c>
      <c r="P493" s="20">
        <f t="shared" si="97"/>
        <v>0</v>
      </c>
      <c r="Q493" s="21"/>
      <c r="R493" s="21"/>
      <c r="S493" s="21"/>
      <c r="T493" s="21"/>
      <c r="U493" s="21"/>
      <c r="V493" s="21"/>
      <c r="W493" s="21"/>
      <c r="X493" s="21"/>
      <c r="Y493" s="21"/>
      <c r="Z493" s="21"/>
    </row>
    <row r="494" spans="1:26">
      <c r="A494" s="43">
        <v>487</v>
      </c>
      <c r="B494" s="44" t="str">
        <f t="shared" si="98"/>
        <v>41-й год 7-й мес</v>
      </c>
      <c r="C494" s="45">
        <f t="shared" si="104"/>
        <v>56014</v>
      </c>
      <c r="D494" s="46">
        <f t="shared" si="94"/>
        <v>0</v>
      </c>
      <c r="E494" s="47">
        <f t="shared" si="99"/>
        <v>0</v>
      </c>
      <c r="F494" s="47">
        <f t="shared" si="105"/>
        <v>0</v>
      </c>
      <c r="G494" s="48">
        <f t="shared" si="100"/>
        <v>0</v>
      </c>
      <c r="H494" s="49">
        <f t="shared" si="95"/>
        <v>0</v>
      </c>
      <c r="I494" s="47">
        <f t="shared" si="106"/>
        <v>0</v>
      </c>
      <c r="J494" s="47">
        <f t="shared" si="101"/>
        <v>0</v>
      </c>
      <c r="K494" s="50">
        <f t="shared" si="102"/>
        <v>0</v>
      </c>
      <c r="L494" s="63"/>
      <c r="M494" s="67"/>
      <c r="N494" s="51">
        <f t="shared" si="96"/>
        <v>7</v>
      </c>
      <c r="O494" s="19">
        <f t="shared" si="103"/>
        <v>10</v>
      </c>
      <c r="P494" s="20">
        <f t="shared" si="97"/>
        <v>0</v>
      </c>
      <c r="Q494" s="21"/>
      <c r="R494" s="21"/>
      <c r="S494" s="21"/>
      <c r="T494" s="21"/>
      <c r="U494" s="21"/>
      <c r="V494" s="21"/>
      <c r="W494" s="21"/>
      <c r="X494" s="21"/>
      <c r="Y494" s="21"/>
      <c r="Z494" s="21"/>
    </row>
    <row r="495" spans="1:26">
      <c r="A495" s="43">
        <v>488</v>
      </c>
      <c r="B495" s="44" t="str">
        <f t="shared" si="98"/>
        <v>41-й год 8-й мес</v>
      </c>
      <c r="C495" s="45">
        <f t="shared" si="104"/>
        <v>56045</v>
      </c>
      <c r="D495" s="46">
        <f t="shared" si="94"/>
        <v>0</v>
      </c>
      <c r="E495" s="47">
        <f t="shared" si="99"/>
        <v>0</v>
      </c>
      <c r="F495" s="47">
        <f t="shared" si="105"/>
        <v>0</v>
      </c>
      <c r="G495" s="48">
        <f t="shared" si="100"/>
        <v>0</v>
      </c>
      <c r="H495" s="49">
        <f t="shared" si="95"/>
        <v>0</v>
      </c>
      <c r="I495" s="47">
        <f t="shared" si="106"/>
        <v>0</v>
      </c>
      <c r="J495" s="47">
        <f t="shared" si="101"/>
        <v>0</v>
      </c>
      <c r="K495" s="50">
        <f t="shared" si="102"/>
        <v>0</v>
      </c>
      <c r="L495" s="63"/>
      <c r="M495" s="67"/>
      <c r="N495" s="51">
        <f t="shared" si="96"/>
        <v>7</v>
      </c>
      <c r="O495" s="19">
        <f t="shared" si="103"/>
        <v>10</v>
      </c>
      <c r="P495" s="20">
        <f t="shared" si="97"/>
        <v>0</v>
      </c>
      <c r="Q495" s="21"/>
      <c r="R495" s="21"/>
      <c r="S495" s="21"/>
      <c r="T495" s="21"/>
      <c r="U495" s="21"/>
      <c r="V495" s="21"/>
      <c r="W495" s="21"/>
      <c r="X495" s="21"/>
      <c r="Y495" s="21"/>
      <c r="Z495" s="21"/>
    </row>
    <row r="496" spans="1:26">
      <c r="A496" s="43">
        <v>489</v>
      </c>
      <c r="B496" s="44" t="str">
        <f t="shared" si="98"/>
        <v>41-й год 9-й мес</v>
      </c>
      <c r="C496" s="45">
        <f t="shared" si="104"/>
        <v>56075</v>
      </c>
      <c r="D496" s="46">
        <f t="shared" si="94"/>
        <v>0</v>
      </c>
      <c r="E496" s="47">
        <f t="shared" si="99"/>
        <v>0</v>
      </c>
      <c r="F496" s="47">
        <f t="shared" si="105"/>
        <v>0</v>
      </c>
      <c r="G496" s="48">
        <f t="shared" si="100"/>
        <v>0</v>
      </c>
      <c r="H496" s="49">
        <f t="shared" si="95"/>
        <v>0</v>
      </c>
      <c r="I496" s="47">
        <f t="shared" si="106"/>
        <v>0</v>
      </c>
      <c r="J496" s="47">
        <f t="shared" si="101"/>
        <v>0</v>
      </c>
      <c r="K496" s="50">
        <f t="shared" si="102"/>
        <v>0</v>
      </c>
      <c r="L496" s="63"/>
      <c r="M496" s="67"/>
      <c r="N496" s="51">
        <f t="shared" si="96"/>
        <v>7</v>
      </c>
      <c r="O496" s="19">
        <f t="shared" si="103"/>
        <v>10</v>
      </c>
      <c r="P496" s="20">
        <f t="shared" si="97"/>
        <v>0</v>
      </c>
      <c r="Q496" s="21"/>
      <c r="R496" s="21"/>
      <c r="S496" s="21"/>
      <c r="T496" s="21"/>
      <c r="U496" s="21"/>
      <c r="V496" s="21"/>
      <c r="W496" s="21"/>
      <c r="X496" s="21"/>
      <c r="Y496" s="21"/>
      <c r="Z496" s="21"/>
    </row>
    <row r="497" spans="1:26">
      <c r="A497" s="43">
        <v>490</v>
      </c>
      <c r="B497" s="44" t="str">
        <f t="shared" si="98"/>
        <v>41-й год 10-й мес</v>
      </c>
      <c r="C497" s="45">
        <f t="shared" si="104"/>
        <v>56106</v>
      </c>
      <c r="D497" s="46">
        <f t="shared" si="94"/>
        <v>0</v>
      </c>
      <c r="E497" s="47">
        <f t="shared" si="99"/>
        <v>0</v>
      </c>
      <c r="F497" s="47">
        <f t="shared" si="105"/>
        <v>0</v>
      </c>
      <c r="G497" s="48">
        <f t="shared" si="100"/>
        <v>0</v>
      </c>
      <c r="H497" s="49">
        <f t="shared" si="95"/>
        <v>0</v>
      </c>
      <c r="I497" s="47">
        <f t="shared" si="106"/>
        <v>0</v>
      </c>
      <c r="J497" s="47">
        <f t="shared" si="101"/>
        <v>0</v>
      </c>
      <c r="K497" s="50">
        <f t="shared" si="102"/>
        <v>0</v>
      </c>
      <c r="L497" s="63"/>
      <c r="M497" s="67"/>
      <c r="N497" s="51">
        <f t="shared" si="96"/>
        <v>7</v>
      </c>
      <c r="O497" s="19">
        <f t="shared" si="103"/>
        <v>10</v>
      </c>
      <c r="P497" s="20">
        <f t="shared" si="97"/>
        <v>0</v>
      </c>
      <c r="Q497" s="21"/>
      <c r="R497" s="21"/>
      <c r="S497" s="21"/>
      <c r="T497" s="21"/>
      <c r="U497" s="21"/>
      <c r="V497" s="21"/>
      <c r="W497" s="21"/>
      <c r="X497" s="21"/>
      <c r="Y497" s="21"/>
      <c r="Z497" s="21"/>
    </row>
    <row r="498" spans="1:26">
      <c r="A498" s="43">
        <v>491</v>
      </c>
      <c r="B498" s="44" t="str">
        <f t="shared" si="98"/>
        <v>41-й год 11-й мес</v>
      </c>
      <c r="C498" s="45">
        <f t="shared" si="104"/>
        <v>56137</v>
      </c>
      <c r="D498" s="46">
        <f t="shared" si="94"/>
        <v>0</v>
      </c>
      <c r="E498" s="47">
        <f t="shared" si="99"/>
        <v>0</v>
      </c>
      <c r="F498" s="47">
        <f t="shared" si="105"/>
        <v>0</v>
      </c>
      <c r="G498" s="48">
        <f t="shared" si="100"/>
        <v>0</v>
      </c>
      <c r="H498" s="49">
        <f t="shared" si="95"/>
        <v>0</v>
      </c>
      <c r="I498" s="47">
        <f t="shared" si="106"/>
        <v>0</v>
      </c>
      <c r="J498" s="47">
        <f t="shared" si="101"/>
        <v>0</v>
      </c>
      <c r="K498" s="50">
        <f t="shared" si="102"/>
        <v>0</v>
      </c>
      <c r="L498" s="63"/>
      <c r="M498" s="67"/>
      <c r="N498" s="51">
        <f t="shared" si="96"/>
        <v>7</v>
      </c>
      <c r="O498" s="19">
        <f t="shared" si="103"/>
        <v>10</v>
      </c>
      <c r="P498" s="20">
        <f t="shared" si="97"/>
        <v>0</v>
      </c>
      <c r="Q498" s="21"/>
      <c r="R498" s="21"/>
      <c r="S498" s="21"/>
      <c r="T498" s="21"/>
      <c r="U498" s="21"/>
      <c r="V498" s="21"/>
      <c r="W498" s="21"/>
      <c r="X498" s="21"/>
      <c r="Y498" s="21"/>
      <c r="Z498" s="21"/>
    </row>
    <row r="499" spans="1:26">
      <c r="A499" s="43">
        <v>492</v>
      </c>
      <c r="B499" s="44" t="str">
        <f t="shared" si="98"/>
        <v>41-й год 12-й мес</v>
      </c>
      <c r="C499" s="45">
        <f t="shared" si="104"/>
        <v>56167</v>
      </c>
      <c r="D499" s="46">
        <f t="shared" si="94"/>
        <v>0</v>
      </c>
      <c r="E499" s="47">
        <f t="shared" si="99"/>
        <v>0</v>
      </c>
      <c r="F499" s="47">
        <f t="shared" si="105"/>
        <v>0</v>
      </c>
      <c r="G499" s="48">
        <f t="shared" si="100"/>
        <v>0</v>
      </c>
      <c r="H499" s="49">
        <f t="shared" si="95"/>
        <v>0</v>
      </c>
      <c r="I499" s="47">
        <f t="shared" si="106"/>
        <v>0</v>
      </c>
      <c r="J499" s="47">
        <f t="shared" si="101"/>
        <v>0</v>
      </c>
      <c r="K499" s="50">
        <f t="shared" si="102"/>
        <v>0</v>
      </c>
      <c r="L499" s="63"/>
      <c r="M499" s="67"/>
      <c r="N499" s="51">
        <f t="shared" si="96"/>
        <v>7</v>
      </c>
      <c r="O499" s="19">
        <f t="shared" si="103"/>
        <v>10</v>
      </c>
      <c r="P499" s="20">
        <f t="shared" si="97"/>
        <v>0</v>
      </c>
      <c r="Q499" s="21"/>
      <c r="R499" s="21"/>
      <c r="S499" s="21"/>
      <c r="T499" s="21"/>
      <c r="U499" s="21"/>
      <c r="V499" s="21"/>
      <c r="W499" s="21"/>
      <c r="X499" s="21"/>
      <c r="Y499" s="21"/>
      <c r="Z499" s="21"/>
    </row>
    <row r="500" spans="1:26">
      <c r="A500" s="52">
        <v>493</v>
      </c>
      <c r="B500" s="44" t="str">
        <f t="shared" si="98"/>
        <v>42-й год 1-й мес</v>
      </c>
      <c r="C500" s="45">
        <f t="shared" si="104"/>
        <v>56198</v>
      </c>
      <c r="D500" s="46">
        <f t="shared" si="94"/>
        <v>0</v>
      </c>
      <c r="E500" s="53">
        <f t="shared" si="99"/>
        <v>0</v>
      </c>
      <c r="F500" s="47">
        <f t="shared" si="105"/>
        <v>0</v>
      </c>
      <c r="G500" s="54">
        <f t="shared" si="100"/>
        <v>0</v>
      </c>
      <c r="H500" s="55">
        <f t="shared" si="95"/>
        <v>0</v>
      </c>
      <c r="I500" s="53">
        <f t="shared" si="106"/>
        <v>0</v>
      </c>
      <c r="J500" s="53">
        <f t="shared" si="101"/>
        <v>0</v>
      </c>
      <c r="K500" s="56">
        <f t="shared" si="102"/>
        <v>0</v>
      </c>
      <c r="L500" s="65"/>
      <c r="M500" s="64"/>
      <c r="N500" s="51">
        <f t="shared" si="96"/>
        <v>7</v>
      </c>
      <c r="O500" s="19">
        <f t="shared" si="103"/>
        <v>10</v>
      </c>
      <c r="P500" s="20">
        <f t="shared" si="97"/>
        <v>0</v>
      </c>
      <c r="Q500" s="21"/>
      <c r="R500" s="21"/>
      <c r="S500" s="21"/>
      <c r="T500" s="21"/>
      <c r="U500" s="21"/>
      <c r="V500" s="21"/>
      <c r="W500" s="21"/>
      <c r="X500" s="21"/>
      <c r="Y500" s="21"/>
      <c r="Z500" s="21"/>
    </row>
    <row r="501" spans="1:26">
      <c r="A501" s="57">
        <v>494</v>
      </c>
      <c r="B501" s="44" t="str">
        <f t="shared" si="98"/>
        <v>42-й год 2-й мес</v>
      </c>
      <c r="C501" s="45">
        <f t="shared" si="104"/>
        <v>56228</v>
      </c>
      <c r="D501" s="46">
        <f t="shared" si="94"/>
        <v>0</v>
      </c>
      <c r="E501" s="47">
        <f t="shared" si="99"/>
        <v>0</v>
      </c>
      <c r="F501" s="47">
        <f t="shared" si="105"/>
        <v>0</v>
      </c>
      <c r="G501" s="48">
        <f t="shared" si="100"/>
        <v>0</v>
      </c>
      <c r="H501" s="49">
        <f t="shared" si="95"/>
        <v>0</v>
      </c>
      <c r="I501" s="47">
        <f t="shared" si="106"/>
        <v>0</v>
      </c>
      <c r="J501" s="47">
        <f t="shared" si="101"/>
        <v>0</v>
      </c>
      <c r="K501" s="50">
        <f t="shared" si="102"/>
        <v>0</v>
      </c>
      <c r="L501" s="63"/>
      <c r="M501" s="67"/>
      <c r="N501" s="51">
        <f t="shared" si="96"/>
        <v>7</v>
      </c>
      <c r="O501" s="19">
        <f t="shared" si="103"/>
        <v>10</v>
      </c>
      <c r="P501" s="20">
        <f t="shared" si="97"/>
        <v>0</v>
      </c>
      <c r="Q501" s="21"/>
      <c r="R501" s="21"/>
      <c r="S501" s="21"/>
      <c r="T501" s="21"/>
      <c r="U501" s="21"/>
      <c r="V501" s="21"/>
      <c r="W501" s="21"/>
      <c r="X501" s="21"/>
      <c r="Y501" s="21"/>
      <c r="Z501" s="21"/>
    </row>
    <row r="502" spans="1:26">
      <c r="A502" s="57">
        <v>495</v>
      </c>
      <c r="B502" s="44" t="str">
        <f t="shared" si="98"/>
        <v>42-й год 3-й мес</v>
      </c>
      <c r="C502" s="45">
        <f t="shared" si="104"/>
        <v>56259</v>
      </c>
      <c r="D502" s="46">
        <f t="shared" si="94"/>
        <v>0</v>
      </c>
      <c r="E502" s="47">
        <f t="shared" si="99"/>
        <v>0</v>
      </c>
      <c r="F502" s="47">
        <f t="shared" si="105"/>
        <v>0</v>
      </c>
      <c r="G502" s="48">
        <f t="shared" si="100"/>
        <v>0</v>
      </c>
      <c r="H502" s="49">
        <f t="shared" si="95"/>
        <v>0</v>
      </c>
      <c r="I502" s="47">
        <f t="shared" si="106"/>
        <v>0</v>
      </c>
      <c r="J502" s="47">
        <f t="shared" si="101"/>
        <v>0</v>
      </c>
      <c r="K502" s="50">
        <f t="shared" si="102"/>
        <v>0</v>
      </c>
      <c r="L502" s="63"/>
      <c r="M502" s="67"/>
      <c r="N502" s="51">
        <f t="shared" si="96"/>
        <v>7</v>
      </c>
      <c r="O502" s="19">
        <f t="shared" si="103"/>
        <v>10</v>
      </c>
      <c r="P502" s="20">
        <f t="shared" si="97"/>
        <v>0</v>
      </c>
      <c r="Q502" s="21"/>
      <c r="R502" s="21"/>
      <c r="S502" s="21"/>
      <c r="T502" s="21"/>
      <c r="U502" s="21"/>
      <c r="V502" s="21"/>
      <c r="W502" s="21"/>
      <c r="X502" s="21"/>
      <c r="Y502" s="21"/>
      <c r="Z502" s="21"/>
    </row>
    <row r="503" spans="1:26">
      <c r="A503" s="57">
        <v>496</v>
      </c>
      <c r="B503" s="44" t="str">
        <f t="shared" si="98"/>
        <v>42-й год 4-й мес</v>
      </c>
      <c r="C503" s="45">
        <f t="shared" si="104"/>
        <v>56290</v>
      </c>
      <c r="D503" s="46">
        <f t="shared" si="94"/>
        <v>0</v>
      </c>
      <c r="E503" s="47">
        <f t="shared" si="99"/>
        <v>0</v>
      </c>
      <c r="F503" s="47">
        <f t="shared" si="105"/>
        <v>0</v>
      </c>
      <c r="G503" s="48">
        <f t="shared" si="100"/>
        <v>0</v>
      </c>
      <c r="H503" s="49">
        <f t="shared" si="95"/>
        <v>0</v>
      </c>
      <c r="I503" s="47">
        <f t="shared" si="106"/>
        <v>0</v>
      </c>
      <c r="J503" s="47">
        <f t="shared" si="101"/>
        <v>0</v>
      </c>
      <c r="K503" s="50">
        <f t="shared" si="102"/>
        <v>0</v>
      </c>
      <c r="L503" s="63"/>
      <c r="M503" s="67"/>
      <c r="N503" s="51">
        <f t="shared" si="96"/>
        <v>7</v>
      </c>
      <c r="O503" s="19">
        <f t="shared" si="103"/>
        <v>10</v>
      </c>
      <c r="P503" s="20">
        <f t="shared" si="97"/>
        <v>0</v>
      </c>
      <c r="Q503" s="21"/>
      <c r="R503" s="21"/>
      <c r="S503" s="21"/>
      <c r="T503" s="21"/>
      <c r="U503" s="21"/>
      <c r="V503" s="21"/>
      <c r="W503" s="21"/>
      <c r="X503" s="21"/>
      <c r="Y503" s="21"/>
      <c r="Z503" s="21"/>
    </row>
    <row r="504" spans="1:26">
      <c r="A504" s="57">
        <v>497</v>
      </c>
      <c r="B504" s="44" t="str">
        <f t="shared" si="98"/>
        <v>42-й год 5-й мес</v>
      </c>
      <c r="C504" s="45">
        <f t="shared" si="104"/>
        <v>56318</v>
      </c>
      <c r="D504" s="46">
        <f t="shared" si="94"/>
        <v>0</v>
      </c>
      <c r="E504" s="47">
        <f t="shared" si="99"/>
        <v>0</v>
      </c>
      <c r="F504" s="47">
        <f t="shared" si="105"/>
        <v>0</v>
      </c>
      <c r="G504" s="48">
        <f t="shared" si="100"/>
        <v>0</v>
      </c>
      <c r="H504" s="49">
        <f t="shared" si="95"/>
        <v>0</v>
      </c>
      <c r="I504" s="47">
        <f t="shared" si="106"/>
        <v>0</v>
      </c>
      <c r="J504" s="47">
        <f t="shared" si="101"/>
        <v>0</v>
      </c>
      <c r="K504" s="50">
        <f t="shared" si="102"/>
        <v>0</v>
      </c>
      <c r="L504" s="63"/>
      <c r="M504" s="67"/>
      <c r="N504" s="51">
        <f t="shared" si="96"/>
        <v>7</v>
      </c>
      <c r="O504" s="19">
        <f t="shared" si="103"/>
        <v>10</v>
      </c>
      <c r="P504" s="20">
        <f t="shared" si="97"/>
        <v>0</v>
      </c>
      <c r="Q504" s="21"/>
      <c r="R504" s="21"/>
      <c r="S504" s="21"/>
      <c r="T504" s="21"/>
      <c r="U504" s="21"/>
      <c r="V504" s="21"/>
      <c r="W504" s="21"/>
      <c r="X504" s="21"/>
      <c r="Y504" s="21"/>
      <c r="Z504" s="21"/>
    </row>
    <row r="505" spans="1:26">
      <c r="A505" s="57">
        <v>498</v>
      </c>
      <c r="B505" s="44" t="str">
        <f t="shared" si="98"/>
        <v>42-й год 6-й мес</v>
      </c>
      <c r="C505" s="45">
        <f t="shared" si="104"/>
        <v>56349</v>
      </c>
      <c r="D505" s="46">
        <f t="shared" si="94"/>
        <v>0</v>
      </c>
      <c r="E505" s="47">
        <f t="shared" si="99"/>
        <v>0</v>
      </c>
      <c r="F505" s="47">
        <f t="shared" si="105"/>
        <v>0</v>
      </c>
      <c r="G505" s="48">
        <f t="shared" si="100"/>
        <v>0</v>
      </c>
      <c r="H505" s="49">
        <f t="shared" si="95"/>
        <v>0</v>
      </c>
      <c r="I505" s="47">
        <f t="shared" si="106"/>
        <v>0</v>
      </c>
      <c r="J505" s="47">
        <f t="shared" si="101"/>
        <v>0</v>
      </c>
      <c r="K505" s="50">
        <f t="shared" si="102"/>
        <v>0</v>
      </c>
      <c r="L505" s="63"/>
      <c r="M505" s="67"/>
      <c r="N505" s="51">
        <f t="shared" si="96"/>
        <v>7</v>
      </c>
      <c r="O505" s="19">
        <f t="shared" si="103"/>
        <v>10</v>
      </c>
      <c r="P505" s="20">
        <f t="shared" si="97"/>
        <v>0</v>
      </c>
      <c r="Q505" s="21"/>
      <c r="R505" s="21"/>
      <c r="S505" s="21"/>
      <c r="T505" s="21"/>
      <c r="U505" s="21"/>
      <c r="V505" s="21"/>
      <c r="W505" s="21"/>
      <c r="X505" s="21"/>
      <c r="Y505" s="21"/>
      <c r="Z505" s="21"/>
    </row>
    <row r="506" spans="1:26">
      <c r="A506" s="57">
        <v>499</v>
      </c>
      <c r="B506" s="44" t="str">
        <f t="shared" si="98"/>
        <v>42-й год 7-й мес</v>
      </c>
      <c r="C506" s="45">
        <f t="shared" si="104"/>
        <v>56379</v>
      </c>
      <c r="D506" s="46">
        <f t="shared" si="94"/>
        <v>0</v>
      </c>
      <c r="E506" s="47">
        <f t="shared" si="99"/>
        <v>0</v>
      </c>
      <c r="F506" s="47">
        <f t="shared" si="105"/>
        <v>0</v>
      </c>
      <c r="G506" s="48">
        <f t="shared" si="100"/>
        <v>0</v>
      </c>
      <c r="H506" s="49">
        <f t="shared" si="95"/>
        <v>0</v>
      </c>
      <c r="I506" s="47">
        <f t="shared" si="106"/>
        <v>0</v>
      </c>
      <c r="J506" s="47">
        <f t="shared" si="101"/>
        <v>0</v>
      </c>
      <c r="K506" s="50">
        <f t="shared" si="102"/>
        <v>0</v>
      </c>
      <c r="L506" s="63"/>
      <c r="M506" s="67"/>
      <c r="N506" s="51">
        <f t="shared" si="96"/>
        <v>7</v>
      </c>
      <c r="O506" s="19">
        <f t="shared" si="103"/>
        <v>10</v>
      </c>
      <c r="P506" s="20">
        <f t="shared" si="97"/>
        <v>0</v>
      </c>
      <c r="Q506" s="21"/>
      <c r="R506" s="21"/>
      <c r="S506" s="21"/>
      <c r="T506" s="21"/>
      <c r="U506" s="21"/>
      <c r="V506" s="21"/>
      <c r="W506" s="21"/>
      <c r="X506" s="21"/>
      <c r="Y506" s="21"/>
      <c r="Z506" s="21"/>
    </row>
    <row r="507" spans="1:26">
      <c r="A507" s="57">
        <v>500</v>
      </c>
      <c r="B507" s="44" t="str">
        <f t="shared" si="98"/>
        <v>42-й год 8-й мес</v>
      </c>
      <c r="C507" s="45">
        <f t="shared" si="104"/>
        <v>56410</v>
      </c>
      <c r="D507" s="46">
        <f t="shared" si="94"/>
        <v>0</v>
      </c>
      <c r="E507" s="47">
        <f t="shared" si="99"/>
        <v>0</v>
      </c>
      <c r="F507" s="47">
        <f t="shared" si="105"/>
        <v>0</v>
      </c>
      <c r="G507" s="48">
        <f t="shared" si="100"/>
        <v>0</v>
      </c>
      <c r="H507" s="49">
        <f t="shared" si="95"/>
        <v>0</v>
      </c>
      <c r="I507" s="47">
        <f t="shared" si="106"/>
        <v>0</v>
      </c>
      <c r="J507" s="47">
        <f t="shared" si="101"/>
        <v>0</v>
      </c>
      <c r="K507" s="50">
        <f t="shared" si="102"/>
        <v>0</v>
      </c>
      <c r="L507" s="63"/>
      <c r="M507" s="67"/>
      <c r="N507" s="51">
        <f t="shared" si="96"/>
        <v>7</v>
      </c>
      <c r="O507" s="19">
        <f t="shared" si="103"/>
        <v>10</v>
      </c>
      <c r="P507" s="20">
        <f t="shared" si="97"/>
        <v>0</v>
      </c>
      <c r="Q507" s="21"/>
      <c r="R507" s="21"/>
      <c r="S507" s="21"/>
      <c r="T507" s="21"/>
      <c r="U507" s="21"/>
      <c r="V507" s="21"/>
      <c r="W507" s="21"/>
      <c r="X507" s="21"/>
      <c r="Y507" s="21"/>
      <c r="Z507" s="21"/>
    </row>
    <row r="508" spans="1:26">
      <c r="A508" s="57">
        <v>501</v>
      </c>
      <c r="B508" s="44" t="str">
        <f t="shared" si="98"/>
        <v>42-й год 9-й мес</v>
      </c>
      <c r="C508" s="45">
        <f t="shared" si="104"/>
        <v>56440</v>
      </c>
      <c r="D508" s="46">
        <f t="shared" si="94"/>
        <v>0</v>
      </c>
      <c r="E508" s="47">
        <f t="shared" si="99"/>
        <v>0</v>
      </c>
      <c r="F508" s="47">
        <f t="shared" si="105"/>
        <v>0</v>
      </c>
      <c r="G508" s="48">
        <f t="shared" si="100"/>
        <v>0</v>
      </c>
      <c r="H508" s="49">
        <f t="shared" si="95"/>
        <v>0</v>
      </c>
      <c r="I508" s="47">
        <f t="shared" si="106"/>
        <v>0</v>
      </c>
      <c r="J508" s="47">
        <f t="shared" si="101"/>
        <v>0</v>
      </c>
      <c r="K508" s="50">
        <f t="shared" si="102"/>
        <v>0</v>
      </c>
      <c r="L508" s="63"/>
      <c r="M508" s="67"/>
      <c r="N508" s="51">
        <f t="shared" si="96"/>
        <v>7</v>
      </c>
      <c r="O508" s="19">
        <f t="shared" si="103"/>
        <v>10</v>
      </c>
      <c r="P508" s="20">
        <f t="shared" si="97"/>
        <v>0</v>
      </c>
      <c r="Q508" s="21"/>
      <c r="R508" s="21"/>
      <c r="S508" s="21"/>
      <c r="T508" s="21"/>
      <c r="U508" s="21"/>
      <c r="V508" s="21"/>
      <c r="W508" s="21"/>
      <c r="X508" s="21"/>
      <c r="Y508" s="21"/>
      <c r="Z508" s="21"/>
    </row>
    <row r="509" spans="1:26">
      <c r="A509" s="57">
        <v>502</v>
      </c>
      <c r="B509" s="44" t="str">
        <f t="shared" si="98"/>
        <v>42-й год 10-й мес</v>
      </c>
      <c r="C509" s="45">
        <f t="shared" si="104"/>
        <v>56471</v>
      </c>
      <c r="D509" s="46">
        <f t="shared" si="94"/>
        <v>0</v>
      </c>
      <c r="E509" s="47">
        <f t="shared" si="99"/>
        <v>0</v>
      </c>
      <c r="F509" s="47">
        <f t="shared" si="105"/>
        <v>0</v>
      </c>
      <c r="G509" s="48">
        <f t="shared" si="100"/>
        <v>0</v>
      </c>
      <c r="H509" s="49">
        <f t="shared" si="95"/>
        <v>0</v>
      </c>
      <c r="I509" s="47">
        <f t="shared" si="106"/>
        <v>0</v>
      </c>
      <c r="J509" s="47">
        <f t="shared" si="101"/>
        <v>0</v>
      </c>
      <c r="K509" s="50">
        <f t="shared" si="102"/>
        <v>0</v>
      </c>
      <c r="L509" s="63"/>
      <c r="M509" s="67"/>
      <c r="N509" s="51">
        <f t="shared" si="96"/>
        <v>7</v>
      </c>
      <c r="O509" s="19">
        <f t="shared" si="103"/>
        <v>10</v>
      </c>
      <c r="P509" s="20">
        <f t="shared" si="97"/>
        <v>0</v>
      </c>
      <c r="Q509" s="21"/>
      <c r="R509" s="21"/>
      <c r="S509" s="21"/>
      <c r="T509" s="21"/>
      <c r="U509" s="21"/>
      <c r="V509" s="21"/>
      <c r="W509" s="21"/>
      <c r="X509" s="21"/>
      <c r="Y509" s="21"/>
      <c r="Z509" s="21"/>
    </row>
    <row r="510" spans="1:26">
      <c r="A510" s="57">
        <v>503</v>
      </c>
      <c r="B510" s="44" t="str">
        <f t="shared" si="98"/>
        <v>42-й год 11-й мес</v>
      </c>
      <c r="C510" s="45">
        <f t="shared" si="104"/>
        <v>56502</v>
      </c>
      <c r="D510" s="46">
        <f t="shared" si="94"/>
        <v>0</v>
      </c>
      <c r="E510" s="47">
        <f t="shared" si="99"/>
        <v>0</v>
      </c>
      <c r="F510" s="47">
        <f t="shared" si="105"/>
        <v>0</v>
      </c>
      <c r="G510" s="48">
        <f t="shared" si="100"/>
        <v>0</v>
      </c>
      <c r="H510" s="49">
        <f t="shared" si="95"/>
        <v>0</v>
      </c>
      <c r="I510" s="47">
        <f t="shared" si="106"/>
        <v>0</v>
      </c>
      <c r="J510" s="47">
        <f t="shared" si="101"/>
        <v>0</v>
      </c>
      <c r="K510" s="50">
        <f t="shared" si="102"/>
        <v>0</v>
      </c>
      <c r="L510" s="63"/>
      <c r="M510" s="67"/>
      <c r="N510" s="51">
        <f t="shared" si="96"/>
        <v>7</v>
      </c>
      <c r="O510" s="19">
        <f t="shared" si="103"/>
        <v>10</v>
      </c>
      <c r="P510" s="20">
        <f t="shared" si="97"/>
        <v>0</v>
      </c>
      <c r="Q510" s="21"/>
      <c r="R510" s="21"/>
      <c r="S510" s="21"/>
      <c r="T510" s="21"/>
      <c r="U510" s="21"/>
      <c r="V510" s="21"/>
      <c r="W510" s="21"/>
      <c r="X510" s="21"/>
      <c r="Y510" s="21"/>
      <c r="Z510" s="21"/>
    </row>
    <row r="511" spans="1:26">
      <c r="A511" s="58">
        <v>504</v>
      </c>
      <c r="B511" s="44" t="str">
        <f t="shared" si="98"/>
        <v>42-й год 12-й мес</v>
      </c>
      <c r="C511" s="45">
        <f t="shared" si="104"/>
        <v>56532</v>
      </c>
      <c r="D511" s="46">
        <f t="shared" si="94"/>
        <v>0</v>
      </c>
      <c r="E511" s="59">
        <f t="shared" si="99"/>
        <v>0</v>
      </c>
      <c r="F511" s="47">
        <f t="shared" si="105"/>
        <v>0</v>
      </c>
      <c r="G511" s="60">
        <f t="shared" si="100"/>
        <v>0</v>
      </c>
      <c r="H511" s="61">
        <f t="shared" si="95"/>
        <v>0</v>
      </c>
      <c r="I511" s="59">
        <f t="shared" si="106"/>
        <v>0</v>
      </c>
      <c r="J511" s="59">
        <f t="shared" si="101"/>
        <v>0</v>
      </c>
      <c r="K511" s="62">
        <f t="shared" si="102"/>
        <v>0</v>
      </c>
      <c r="L511" s="66"/>
      <c r="M511" s="68"/>
      <c r="N511" s="51">
        <f t="shared" si="96"/>
        <v>7</v>
      </c>
      <c r="O511" s="19">
        <f t="shared" si="103"/>
        <v>10</v>
      </c>
      <c r="P511" s="20">
        <f t="shared" si="97"/>
        <v>0</v>
      </c>
      <c r="Q511" s="21"/>
      <c r="R511" s="21"/>
      <c r="S511" s="21"/>
      <c r="T511" s="21"/>
      <c r="U511" s="21"/>
      <c r="V511" s="21"/>
      <c r="W511" s="21"/>
      <c r="X511" s="21"/>
      <c r="Y511" s="21"/>
      <c r="Z511" s="21"/>
    </row>
    <row r="512" spans="1:26">
      <c r="A512" s="43">
        <v>505</v>
      </c>
      <c r="B512" s="44" t="str">
        <f t="shared" si="98"/>
        <v>43-й год 1-й мес</v>
      </c>
      <c r="C512" s="45">
        <f t="shared" si="104"/>
        <v>56563</v>
      </c>
      <c r="D512" s="46">
        <f t="shared" si="94"/>
        <v>0</v>
      </c>
      <c r="E512" s="47">
        <f t="shared" si="99"/>
        <v>0</v>
      </c>
      <c r="F512" s="47">
        <f t="shared" si="105"/>
        <v>0</v>
      </c>
      <c r="G512" s="48">
        <f t="shared" si="100"/>
        <v>0</v>
      </c>
      <c r="H512" s="49">
        <f t="shared" si="95"/>
        <v>0</v>
      </c>
      <c r="I512" s="47">
        <f t="shared" si="106"/>
        <v>0</v>
      </c>
      <c r="J512" s="47">
        <f t="shared" si="101"/>
        <v>0</v>
      </c>
      <c r="K512" s="50">
        <f t="shared" si="102"/>
        <v>0</v>
      </c>
      <c r="L512" s="63"/>
      <c r="M512" s="67"/>
      <c r="N512" s="51">
        <f t="shared" si="96"/>
        <v>7</v>
      </c>
      <c r="O512" s="19">
        <f t="shared" si="103"/>
        <v>10</v>
      </c>
      <c r="P512" s="20">
        <f t="shared" si="97"/>
        <v>0</v>
      </c>
      <c r="Q512" s="21"/>
      <c r="R512" s="21"/>
      <c r="S512" s="21"/>
      <c r="T512" s="21"/>
      <c r="U512" s="21"/>
      <c r="V512" s="21"/>
      <c r="W512" s="21"/>
      <c r="X512" s="21"/>
      <c r="Y512" s="21"/>
      <c r="Z512" s="21"/>
    </row>
    <row r="513" spans="1:26">
      <c r="A513" s="43">
        <v>506</v>
      </c>
      <c r="B513" s="44" t="str">
        <f t="shared" si="98"/>
        <v>43-й год 2-й мес</v>
      </c>
      <c r="C513" s="45">
        <f t="shared" si="104"/>
        <v>56593</v>
      </c>
      <c r="D513" s="46">
        <f t="shared" si="94"/>
        <v>0</v>
      </c>
      <c r="E513" s="47">
        <f t="shared" si="99"/>
        <v>0</v>
      </c>
      <c r="F513" s="47">
        <f t="shared" si="105"/>
        <v>0</v>
      </c>
      <c r="G513" s="48">
        <f t="shared" si="100"/>
        <v>0</v>
      </c>
      <c r="H513" s="49">
        <f t="shared" si="95"/>
        <v>0</v>
      </c>
      <c r="I513" s="47">
        <f t="shared" si="106"/>
        <v>0</v>
      </c>
      <c r="J513" s="47">
        <f t="shared" si="101"/>
        <v>0</v>
      </c>
      <c r="K513" s="50">
        <f t="shared" si="102"/>
        <v>0</v>
      </c>
      <c r="L513" s="63"/>
      <c r="M513" s="67"/>
      <c r="N513" s="51">
        <f t="shared" si="96"/>
        <v>7</v>
      </c>
      <c r="O513" s="19">
        <f t="shared" si="103"/>
        <v>10</v>
      </c>
      <c r="P513" s="20">
        <f t="shared" si="97"/>
        <v>0</v>
      </c>
      <c r="Q513" s="21"/>
      <c r="R513" s="21"/>
      <c r="S513" s="21"/>
      <c r="T513" s="21"/>
      <c r="U513" s="21"/>
      <c r="V513" s="21"/>
      <c r="W513" s="21"/>
      <c r="X513" s="21"/>
      <c r="Y513" s="21"/>
      <c r="Z513" s="21"/>
    </row>
    <row r="514" spans="1:26">
      <c r="A514" s="43">
        <v>507</v>
      </c>
      <c r="B514" s="44" t="str">
        <f t="shared" si="98"/>
        <v>43-й год 3-й мес</v>
      </c>
      <c r="C514" s="45">
        <f t="shared" si="104"/>
        <v>56624</v>
      </c>
      <c r="D514" s="46">
        <f t="shared" si="94"/>
        <v>0</v>
      </c>
      <c r="E514" s="47">
        <f t="shared" si="99"/>
        <v>0</v>
      </c>
      <c r="F514" s="47">
        <f t="shared" si="105"/>
        <v>0</v>
      </c>
      <c r="G514" s="48">
        <f t="shared" si="100"/>
        <v>0</v>
      </c>
      <c r="H514" s="49">
        <f t="shared" si="95"/>
        <v>0</v>
      </c>
      <c r="I514" s="47">
        <f t="shared" si="106"/>
        <v>0</v>
      </c>
      <c r="J514" s="47">
        <f t="shared" si="101"/>
        <v>0</v>
      </c>
      <c r="K514" s="50">
        <f t="shared" si="102"/>
        <v>0</v>
      </c>
      <c r="L514" s="63"/>
      <c r="M514" s="67"/>
      <c r="N514" s="51">
        <f t="shared" si="96"/>
        <v>7</v>
      </c>
      <c r="O514" s="19">
        <f t="shared" si="103"/>
        <v>10</v>
      </c>
      <c r="P514" s="20">
        <f t="shared" si="97"/>
        <v>0</v>
      </c>
      <c r="Q514" s="21"/>
      <c r="R514" s="21"/>
      <c r="S514" s="21"/>
      <c r="T514" s="21"/>
      <c r="U514" s="21"/>
      <c r="V514" s="21"/>
      <c r="W514" s="21"/>
      <c r="X514" s="21"/>
      <c r="Y514" s="21"/>
      <c r="Z514" s="21"/>
    </row>
    <row r="515" spans="1:26">
      <c r="A515" s="43">
        <v>508</v>
      </c>
      <c r="B515" s="44" t="str">
        <f t="shared" si="98"/>
        <v>43-й год 4-й мес</v>
      </c>
      <c r="C515" s="45">
        <f t="shared" si="104"/>
        <v>56655</v>
      </c>
      <c r="D515" s="46">
        <f t="shared" si="94"/>
        <v>0</v>
      </c>
      <c r="E515" s="47">
        <f t="shared" si="99"/>
        <v>0</v>
      </c>
      <c r="F515" s="47">
        <f t="shared" si="105"/>
        <v>0</v>
      </c>
      <c r="G515" s="48">
        <f t="shared" si="100"/>
        <v>0</v>
      </c>
      <c r="H515" s="49">
        <f t="shared" si="95"/>
        <v>0</v>
      </c>
      <c r="I515" s="47">
        <f t="shared" si="106"/>
        <v>0</v>
      </c>
      <c r="J515" s="47">
        <f t="shared" si="101"/>
        <v>0</v>
      </c>
      <c r="K515" s="50">
        <f t="shared" si="102"/>
        <v>0</v>
      </c>
      <c r="L515" s="63"/>
      <c r="M515" s="67"/>
      <c r="N515" s="51">
        <f t="shared" si="96"/>
        <v>7</v>
      </c>
      <c r="O515" s="19">
        <f t="shared" si="103"/>
        <v>10</v>
      </c>
      <c r="P515" s="20">
        <f t="shared" si="97"/>
        <v>0</v>
      </c>
      <c r="Q515" s="21"/>
      <c r="R515" s="21"/>
      <c r="S515" s="21"/>
      <c r="T515" s="21"/>
      <c r="U515" s="21"/>
      <c r="V515" s="21"/>
      <c r="W515" s="21"/>
      <c r="X515" s="21"/>
      <c r="Y515" s="21"/>
      <c r="Z515" s="21"/>
    </row>
    <row r="516" spans="1:26">
      <c r="A516" s="43">
        <v>509</v>
      </c>
      <c r="B516" s="44" t="str">
        <f t="shared" si="98"/>
        <v>43-й год 5-й мес</v>
      </c>
      <c r="C516" s="45">
        <f t="shared" si="104"/>
        <v>56683</v>
      </c>
      <c r="D516" s="46">
        <f t="shared" si="94"/>
        <v>0</v>
      </c>
      <c r="E516" s="47">
        <f t="shared" si="99"/>
        <v>0</v>
      </c>
      <c r="F516" s="47">
        <f t="shared" si="105"/>
        <v>0</v>
      </c>
      <c r="G516" s="48">
        <f t="shared" si="100"/>
        <v>0</v>
      </c>
      <c r="H516" s="49">
        <f t="shared" si="95"/>
        <v>0</v>
      </c>
      <c r="I516" s="47">
        <f t="shared" si="106"/>
        <v>0</v>
      </c>
      <c r="J516" s="47">
        <f t="shared" si="101"/>
        <v>0</v>
      </c>
      <c r="K516" s="50">
        <f t="shared" si="102"/>
        <v>0</v>
      </c>
      <c r="L516" s="63"/>
      <c r="M516" s="67"/>
      <c r="N516" s="51">
        <f t="shared" si="96"/>
        <v>7</v>
      </c>
      <c r="O516" s="19">
        <f t="shared" si="103"/>
        <v>10</v>
      </c>
      <c r="P516" s="20">
        <f t="shared" si="97"/>
        <v>0</v>
      </c>
      <c r="Q516" s="21"/>
      <c r="R516" s="21"/>
      <c r="S516" s="21"/>
      <c r="T516" s="21"/>
      <c r="U516" s="21"/>
      <c r="V516" s="21"/>
      <c r="W516" s="21"/>
      <c r="X516" s="21"/>
      <c r="Y516" s="21"/>
      <c r="Z516" s="21"/>
    </row>
    <row r="517" spans="1:26">
      <c r="A517" s="43">
        <v>510</v>
      </c>
      <c r="B517" s="44" t="str">
        <f t="shared" si="98"/>
        <v>43-й год 6-й мес</v>
      </c>
      <c r="C517" s="45">
        <f t="shared" si="104"/>
        <v>56714</v>
      </c>
      <c r="D517" s="46">
        <f t="shared" si="94"/>
        <v>0</v>
      </c>
      <c r="E517" s="47">
        <f t="shared" si="99"/>
        <v>0</v>
      </c>
      <c r="F517" s="47">
        <f t="shared" si="105"/>
        <v>0</v>
      </c>
      <c r="G517" s="48">
        <f t="shared" si="100"/>
        <v>0</v>
      </c>
      <c r="H517" s="49">
        <f t="shared" si="95"/>
        <v>0</v>
      </c>
      <c r="I517" s="47">
        <f t="shared" si="106"/>
        <v>0</v>
      </c>
      <c r="J517" s="47">
        <f t="shared" si="101"/>
        <v>0</v>
      </c>
      <c r="K517" s="50">
        <f t="shared" si="102"/>
        <v>0</v>
      </c>
      <c r="L517" s="63"/>
      <c r="M517" s="67"/>
      <c r="N517" s="51">
        <f t="shared" si="96"/>
        <v>7</v>
      </c>
      <c r="O517" s="19">
        <f t="shared" si="103"/>
        <v>10</v>
      </c>
      <c r="P517" s="20">
        <f t="shared" si="97"/>
        <v>0</v>
      </c>
      <c r="Q517" s="21"/>
      <c r="R517" s="21"/>
      <c r="S517" s="21"/>
      <c r="T517" s="21"/>
      <c r="U517" s="21"/>
      <c r="V517" s="21"/>
      <c r="W517" s="21"/>
      <c r="X517" s="21"/>
      <c r="Y517" s="21"/>
      <c r="Z517" s="21"/>
    </row>
    <row r="518" spans="1:26">
      <c r="A518" s="43">
        <v>511</v>
      </c>
      <c r="B518" s="44" t="str">
        <f t="shared" si="98"/>
        <v>43-й год 7-й мес</v>
      </c>
      <c r="C518" s="45">
        <f t="shared" si="104"/>
        <v>56744</v>
      </c>
      <c r="D518" s="46">
        <f t="shared" si="94"/>
        <v>0</v>
      </c>
      <c r="E518" s="47">
        <f t="shared" si="99"/>
        <v>0</v>
      </c>
      <c r="F518" s="47">
        <f t="shared" si="105"/>
        <v>0</v>
      </c>
      <c r="G518" s="48">
        <f t="shared" si="100"/>
        <v>0</v>
      </c>
      <c r="H518" s="49">
        <f t="shared" si="95"/>
        <v>0</v>
      </c>
      <c r="I518" s="47">
        <f t="shared" si="106"/>
        <v>0</v>
      </c>
      <c r="J518" s="47">
        <f t="shared" si="101"/>
        <v>0</v>
      </c>
      <c r="K518" s="50">
        <f t="shared" si="102"/>
        <v>0</v>
      </c>
      <c r="L518" s="63"/>
      <c r="M518" s="67"/>
      <c r="N518" s="51">
        <f t="shared" si="96"/>
        <v>7</v>
      </c>
      <c r="O518" s="19">
        <f t="shared" si="103"/>
        <v>10</v>
      </c>
      <c r="P518" s="20">
        <f t="shared" si="97"/>
        <v>0</v>
      </c>
      <c r="Q518" s="21"/>
      <c r="R518" s="21"/>
      <c r="S518" s="21"/>
      <c r="T518" s="21"/>
      <c r="U518" s="21"/>
      <c r="V518" s="21"/>
      <c r="W518" s="21"/>
      <c r="X518" s="21"/>
      <c r="Y518" s="21"/>
      <c r="Z518" s="21"/>
    </row>
    <row r="519" spans="1:26">
      <c r="A519" s="43">
        <v>512</v>
      </c>
      <c r="B519" s="44" t="str">
        <f t="shared" si="98"/>
        <v>43-й год 8-й мес</v>
      </c>
      <c r="C519" s="45">
        <f t="shared" si="104"/>
        <v>56775</v>
      </c>
      <c r="D519" s="46">
        <f t="shared" si="94"/>
        <v>0</v>
      </c>
      <c r="E519" s="47">
        <f t="shared" si="99"/>
        <v>0</v>
      </c>
      <c r="F519" s="47">
        <f t="shared" si="105"/>
        <v>0</v>
      </c>
      <c r="G519" s="48">
        <f t="shared" si="100"/>
        <v>0</v>
      </c>
      <c r="H519" s="49">
        <f t="shared" si="95"/>
        <v>0</v>
      </c>
      <c r="I519" s="47">
        <f t="shared" si="106"/>
        <v>0</v>
      </c>
      <c r="J519" s="47">
        <f t="shared" si="101"/>
        <v>0</v>
      </c>
      <c r="K519" s="50">
        <f t="shared" si="102"/>
        <v>0</v>
      </c>
      <c r="L519" s="63"/>
      <c r="M519" s="67"/>
      <c r="N519" s="51">
        <f t="shared" si="96"/>
        <v>7</v>
      </c>
      <c r="O519" s="19">
        <f t="shared" si="103"/>
        <v>10</v>
      </c>
      <c r="P519" s="20">
        <f t="shared" si="97"/>
        <v>0</v>
      </c>
      <c r="Q519" s="21"/>
      <c r="R519" s="21"/>
      <c r="S519" s="21"/>
      <c r="T519" s="21"/>
      <c r="U519" s="21"/>
      <c r="V519" s="21"/>
      <c r="W519" s="21"/>
      <c r="X519" s="21"/>
      <c r="Y519" s="21"/>
      <c r="Z519" s="21"/>
    </row>
    <row r="520" spans="1:26">
      <c r="A520" s="43">
        <v>513</v>
      </c>
      <c r="B520" s="69"/>
      <c r="C520" s="45">
        <f t="shared" si="104"/>
        <v>56805</v>
      </c>
      <c r="D520" s="46">
        <f t="shared" ref="D520:D583" si="107">IF(P520*$D$2/100/12/(1-(1+$D$2/100/12)^(-O520))&lt;G519,ROUNDUP(P520*$D$2/100/12/(1-(1+$D$2/100/12)^(-O520)),0),G519+F520)</f>
        <v>0</v>
      </c>
      <c r="E520" s="47">
        <f t="shared" si="99"/>
        <v>0</v>
      </c>
      <c r="F520" s="47">
        <f t="shared" si="105"/>
        <v>0</v>
      </c>
      <c r="G520" s="48">
        <f t="shared" si="100"/>
        <v>0</v>
      </c>
      <c r="H520" s="49">
        <f t="shared" ref="H520:H583" si="108">I520+J520</f>
        <v>0</v>
      </c>
      <c r="I520" s="47">
        <f t="shared" si="106"/>
        <v>0</v>
      </c>
      <c r="J520" s="47">
        <f t="shared" si="101"/>
        <v>0</v>
      </c>
      <c r="K520" s="50">
        <f t="shared" si="102"/>
        <v>0</v>
      </c>
      <c r="L520" s="63"/>
      <c r="M520" s="67"/>
      <c r="N520" s="51">
        <f t="shared" ref="N520:N583" si="109">IF(ISBLANK(L519),VALUE(N519),ROW(L519))</f>
        <v>7</v>
      </c>
      <c r="O520" s="19">
        <f t="shared" si="103"/>
        <v>10</v>
      </c>
      <c r="P520" s="20">
        <f t="shared" ref="P520:P583" si="110">INDEX(G:G,N520,1)</f>
        <v>0</v>
      </c>
      <c r="Q520" s="21"/>
      <c r="R520" s="21"/>
      <c r="S520" s="21"/>
      <c r="T520" s="21"/>
      <c r="U520" s="21"/>
      <c r="V520" s="21"/>
      <c r="W520" s="21"/>
      <c r="X520" s="21"/>
      <c r="Y520" s="21"/>
      <c r="Z520" s="21"/>
    </row>
    <row r="521" spans="1:26">
      <c r="A521" s="43">
        <v>514</v>
      </c>
      <c r="B521" s="69"/>
      <c r="C521" s="45">
        <f t="shared" si="104"/>
        <v>56836</v>
      </c>
      <c r="D521" s="46">
        <f t="shared" si="107"/>
        <v>0</v>
      </c>
      <c r="E521" s="47">
        <f t="shared" ref="E521:E584" si="111">D521-F521</f>
        <v>0</v>
      </c>
      <c r="F521" s="47">
        <f t="shared" si="105"/>
        <v>0</v>
      </c>
      <c r="G521" s="48">
        <f t="shared" ref="G521:G584" si="112">G520-E521-L521-M521</f>
        <v>0</v>
      </c>
      <c r="H521" s="49">
        <f t="shared" si="108"/>
        <v>0</v>
      </c>
      <c r="I521" s="47">
        <f t="shared" si="106"/>
        <v>0</v>
      </c>
      <c r="J521" s="47">
        <f t="shared" ref="J521:J584" si="113">K520*$D$2/12/100</f>
        <v>0</v>
      </c>
      <c r="K521" s="50">
        <f t="shared" ref="K521:K584" si="114">K520-I521-L521-M521</f>
        <v>0</v>
      </c>
      <c r="L521" s="63"/>
      <c r="M521" s="67"/>
      <c r="N521" s="51">
        <f t="shared" si="109"/>
        <v>7</v>
      </c>
      <c r="O521" s="19">
        <f t="shared" ref="O521:O584" si="115">O520+N520-N521</f>
        <v>10</v>
      </c>
      <c r="P521" s="20">
        <f t="shared" si="110"/>
        <v>0</v>
      </c>
      <c r="Q521" s="21"/>
      <c r="R521" s="21"/>
      <c r="S521" s="21"/>
      <c r="T521" s="21"/>
      <c r="U521" s="21"/>
      <c r="V521" s="21"/>
      <c r="W521" s="21"/>
      <c r="X521" s="21"/>
      <c r="Y521" s="21"/>
      <c r="Z521" s="21"/>
    </row>
    <row r="522" spans="1:26">
      <c r="A522" s="43">
        <v>515</v>
      </c>
      <c r="B522" s="69"/>
      <c r="C522" s="45">
        <f t="shared" ref="C522:C585" si="116">DATE(YEAR(C521),MONTH(C521)+1,DAY(C521))</f>
        <v>56867</v>
      </c>
      <c r="D522" s="46">
        <f t="shared" si="107"/>
        <v>0</v>
      </c>
      <c r="E522" s="47">
        <f t="shared" si="111"/>
        <v>0</v>
      </c>
      <c r="F522" s="47">
        <f t="shared" ref="F522:F585" si="117">G521*$D$2*(C522-C521)/(DATE(YEAR(C522)+1,1,1)-DATE(YEAR(C522),1,1))/100</f>
        <v>0</v>
      </c>
      <c r="G522" s="48">
        <f t="shared" si="112"/>
        <v>0</v>
      </c>
      <c r="H522" s="49">
        <f t="shared" si="108"/>
        <v>0</v>
      </c>
      <c r="I522" s="47">
        <f t="shared" ref="I522:I585" si="118">IF($D$1/$D$3&lt;K521,$D$1/$D$3,K521)</f>
        <v>0</v>
      </c>
      <c r="J522" s="47">
        <f t="shared" si="113"/>
        <v>0</v>
      </c>
      <c r="K522" s="50">
        <f t="shared" si="114"/>
        <v>0</v>
      </c>
      <c r="L522" s="63"/>
      <c r="M522" s="67"/>
      <c r="N522" s="51">
        <f t="shared" si="109"/>
        <v>7</v>
      </c>
      <c r="O522" s="19">
        <f t="shared" si="115"/>
        <v>10</v>
      </c>
      <c r="P522" s="20">
        <f t="shared" si="110"/>
        <v>0</v>
      </c>
      <c r="Q522" s="21"/>
      <c r="R522" s="21"/>
      <c r="S522" s="21"/>
      <c r="T522" s="21"/>
      <c r="U522" s="21"/>
      <c r="V522" s="21"/>
      <c r="W522" s="21"/>
      <c r="X522" s="21"/>
      <c r="Y522" s="21"/>
      <c r="Z522" s="21"/>
    </row>
    <row r="523" spans="1:26">
      <c r="A523" s="43">
        <v>516</v>
      </c>
      <c r="B523" s="69"/>
      <c r="C523" s="45">
        <f t="shared" si="116"/>
        <v>56897</v>
      </c>
      <c r="D523" s="46">
        <f t="shared" si="107"/>
        <v>0</v>
      </c>
      <c r="E523" s="47">
        <f t="shared" si="111"/>
        <v>0</v>
      </c>
      <c r="F523" s="47">
        <f t="shared" si="117"/>
        <v>0</v>
      </c>
      <c r="G523" s="48">
        <f t="shared" si="112"/>
        <v>0</v>
      </c>
      <c r="H523" s="49">
        <f t="shared" si="108"/>
        <v>0</v>
      </c>
      <c r="I523" s="47">
        <f t="shared" si="118"/>
        <v>0</v>
      </c>
      <c r="J523" s="47">
        <f t="shared" si="113"/>
        <v>0</v>
      </c>
      <c r="K523" s="50">
        <f t="shared" si="114"/>
        <v>0</v>
      </c>
      <c r="L523" s="63"/>
      <c r="M523" s="67"/>
      <c r="N523" s="51">
        <f t="shared" si="109"/>
        <v>7</v>
      </c>
      <c r="O523" s="19">
        <f t="shared" si="115"/>
        <v>10</v>
      </c>
      <c r="P523" s="20">
        <f t="shared" si="110"/>
        <v>0</v>
      </c>
      <c r="Q523" s="21"/>
      <c r="R523" s="21"/>
      <c r="S523" s="21"/>
      <c r="T523" s="21"/>
      <c r="U523" s="21"/>
      <c r="V523" s="21"/>
      <c r="W523" s="21"/>
      <c r="X523" s="21"/>
      <c r="Y523" s="21"/>
      <c r="Z523" s="21"/>
    </row>
    <row r="524" spans="1:26">
      <c r="A524" s="52">
        <v>517</v>
      </c>
      <c r="B524" s="70"/>
      <c r="C524" s="45">
        <f t="shared" si="116"/>
        <v>56928</v>
      </c>
      <c r="D524" s="46">
        <f t="shared" si="107"/>
        <v>0</v>
      </c>
      <c r="E524" s="53">
        <f t="shared" si="111"/>
        <v>0</v>
      </c>
      <c r="F524" s="47">
        <f t="shared" si="117"/>
        <v>0</v>
      </c>
      <c r="G524" s="54">
        <f t="shared" si="112"/>
        <v>0</v>
      </c>
      <c r="H524" s="55">
        <f t="shared" si="108"/>
        <v>0</v>
      </c>
      <c r="I524" s="53">
        <f t="shared" si="118"/>
        <v>0</v>
      </c>
      <c r="J524" s="53">
        <f t="shared" si="113"/>
        <v>0</v>
      </c>
      <c r="K524" s="56">
        <f t="shared" si="114"/>
        <v>0</v>
      </c>
      <c r="L524" s="65"/>
      <c r="M524" s="64"/>
      <c r="N524" s="51">
        <f t="shared" si="109"/>
        <v>7</v>
      </c>
      <c r="O524" s="19">
        <f t="shared" si="115"/>
        <v>10</v>
      </c>
      <c r="P524" s="20">
        <f t="shared" si="110"/>
        <v>0</v>
      </c>
      <c r="Q524" s="21"/>
      <c r="R524" s="21"/>
      <c r="S524" s="21"/>
      <c r="T524" s="21"/>
      <c r="U524" s="21"/>
      <c r="V524" s="21"/>
      <c r="W524" s="21"/>
      <c r="X524" s="21"/>
      <c r="Y524" s="21"/>
      <c r="Z524" s="21"/>
    </row>
    <row r="525" spans="1:26">
      <c r="A525" s="57">
        <v>518</v>
      </c>
      <c r="B525" s="70"/>
      <c r="C525" s="45">
        <f t="shared" si="116"/>
        <v>56958</v>
      </c>
      <c r="D525" s="46">
        <f t="shared" si="107"/>
        <v>0</v>
      </c>
      <c r="E525" s="47">
        <f t="shared" si="111"/>
        <v>0</v>
      </c>
      <c r="F525" s="47">
        <f t="shared" si="117"/>
        <v>0</v>
      </c>
      <c r="G525" s="48">
        <f t="shared" si="112"/>
        <v>0</v>
      </c>
      <c r="H525" s="49">
        <f t="shared" si="108"/>
        <v>0</v>
      </c>
      <c r="I525" s="47">
        <f t="shared" si="118"/>
        <v>0</v>
      </c>
      <c r="J525" s="47">
        <f t="shared" si="113"/>
        <v>0</v>
      </c>
      <c r="K525" s="50">
        <f t="shared" si="114"/>
        <v>0</v>
      </c>
      <c r="L525" s="63"/>
      <c r="M525" s="67"/>
      <c r="N525" s="51">
        <f t="shared" si="109"/>
        <v>7</v>
      </c>
      <c r="O525" s="19">
        <f t="shared" si="115"/>
        <v>10</v>
      </c>
      <c r="P525" s="20">
        <f t="shared" si="110"/>
        <v>0</v>
      </c>
      <c r="Q525" s="21"/>
      <c r="R525" s="21"/>
      <c r="S525" s="21"/>
      <c r="T525" s="21"/>
      <c r="U525" s="21"/>
      <c r="V525" s="21"/>
      <c r="W525" s="21"/>
      <c r="X525" s="21"/>
      <c r="Y525" s="21"/>
      <c r="Z525" s="21"/>
    </row>
    <row r="526" spans="1:26">
      <c r="A526" s="57">
        <v>519</v>
      </c>
      <c r="B526" s="70"/>
      <c r="C526" s="45">
        <f t="shared" si="116"/>
        <v>56989</v>
      </c>
      <c r="D526" s="46">
        <f t="shared" si="107"/>
        <v>0</v>
      </c>
      <c r="E526" s="47">
        <f t="shared" si="111"/>
        <v>0</v>
      </c>
      <c r="F526" s="47">
        <f t="shared" si="117"/>
        <v>0</v>
      </c>
      <c r="G526" s="48">
        <f t="shared" si="112"/>
        <v>0</v>
      </c>
      <c r="H526" s="49">
        <f t="shared" si="108"/>
        <v>0</v>
      </c>
      <c r="I526" s="47">
        <f t="shared" si="118"/>
        <v>0</v>
      </c>
      <c r="J526" s="47">
        <f t="shared" si="113"/>
        <v>0</v>
      </c>
      <c r="K526" s="50">
        <f t="shared" si="114"/>
        <v>0</v>
      </c>
      <c r="L526" s="63"/>
      <c r="M526" s="67"/>
      <c r="N526" s="51">
        <f t="shared" si="109"/>
        <v>7</v>
      </c>
      <c r="O526" s="19">
        <f t="shared" si="115"/>
        <v>10</v>
      </c>
      <c r="P526" s="20">
        <f t="shared" si="110"/>
        <v>0</v>
      </c>
      <c r="Q526" s="21"/>
      <c r="R526" s="21"/>
      <c r="S526" s="21"/>
      <c r="T526" s="21"/>
      <c r="U526" s="21"/>
      <c r="V526" s="21"/>
      <c r="W526" s="21"/>
      <c r="X526" s="21"/>
      <c r="Y526" s="21"/>
      <c r="Z526" s="21"/>
    </row>
    <row r="527" spans="1:26">
      <c r="A527" s="57">
        <v>520</v>
      </c>
      <c r="B527" s="70"/>
      <c r="C527" s="45">
        <f t="shared" si="116"/>
        <v>57020</v>
      </c>
      <c r="D527" s="46">
        <f t="shared" si="107"/>
        <v>0</v>
      </c>
      <c r="E527" s="47">
        <f t="shared" si="111"/>
        <v>0</v>
      </c>
      <c r="F527" s="47">
        <f t="shared" si="117"/>
        <v>0</v>
      </c>
      <c r="G527" s="48">
        <f t="shared" si="112"/>
        <v>0</v>
      </c>
      <c r="H527" s="49">
        <f t="shared" si="108"/>
        <v>0</v>
      </c>
      <c r="I527" s="47">
        <f t="shared" si="118"/>
        <v>0</v>
      </c>
      <c r="J527" s="47">
        <f t="shared" si="113"/>
        <v>0</v>
      </c>
      <c r="K527" s="50">
        <f t="shared" si="114"/>
        <v>0</v>
      </c>
      <c r="L527" s="63"/>
      <c r="M527" s="67"/>
      <c r="N527" s="51">
        <f t="shared" si="109"/>
        <v>7</v>
      </c>
      <c r="O527" s="19">
        <f t="shared" si="115"/>
        <v>10</v>
      </c>
      <c r="P527" s="20">
        <f t="shared" si="110"/>
        <v>0</v>
      </c>
      <c r="Q527" s="21"/>
      <c r="R527" s="21"/>
      <c r="S527" s="21"/>
      <c r="T527" s="21"/>
      <c r="U527" s="21"/>
      <c r="V527" s="21"/>
      <c r="W527" s="21"/>
      <c r="X527" s="21"/>
      <c r="Y527" s="21"/>
      <c r="Z527" s="21"/>
    </row>
    <row r="528" spans="1:26">
      <c r="A528" s="57">
        <v>521</v>
      </c>
      <c r="B528" s="70"/>
      <c r="C528" s="45">
        <f t="shared" si="116"/>
        <v>57049</v>
      </c>
      <c r="D528" s="46">
        <f t="shared" si="107"/>
        <v>0</v>
      </c>
      <c r="E528" s="47">
        <f t="shared" si="111"/>
        <v>0</v>
      </c>
      <c r="F528" s="47">
        <f t="shared" si="117"/>
        <v>0</v>
      </c>
      <c r="G528" s="48">
        <f t="shared" si="112"/>
        <v>0</v>
      </c>
      <c r="H528" s="49">
        <f t="shared" si="108"/>
        <v>0</v>
      </c>
      <c r="I528" s="47">
        <f t="shared" si="118"/>
        <v>0</v>
      </c>
      <c r="J528" s="47">
        <f t="shared" si="113"/>
        <v>0</v>
      </c>
      <c r="K528" s="50">
        <f t="shared" si="114"/>
        <v>0</v>
      </c>
      <c r="L528" s="63"/>
      <c r="M528" s="67"/>
      <c r="N528" s="51">
        <f t="shared" si="109"/>
        <v>7</v>
      </c>
      <c r="O528" s="19">
        <f t="shared" si="115"/>
        <v>10</v>
      </c>
      <c r="P528" s="20">
        <f t="shared" si="110"/>
        <v>0</v>
      </c>
      <c r="Q528" s="21"/>
      <c r="R528" s="21"/>
      <c r="S528" s="21"/>
      <c r="T528" s="21"/>
      <c r="U528" s="21"/>
      <c r="V528" s="21"/>
      <c r="W528" s="21"/>
      <c r="X528" s="21"/>
      <c r="Y528" s="21"/>
      <c r="Z528" s="21"/>
    </row>
    <row r="529" spans="1:26">
      <c r="A529" s="57">
        <v>522</v>
      </c>
      <c r="B529" s="70"/>
      <c r="C529" s="45">
        <f t="shared" si="116"/>
        <v>57080</v>
      </c>
      <c r="D529" s="46">
        <f t="shared" si="107"/>
        <v>0</v>
      </c>
      <c r="E529" s="47">
        <f t="shared" si="111"/>
        <v>0</v>
      </c>
      <c r="F529" s="47">
        <f t="shared" si="117"/>
        <v>0</v>
      </c>
      <c r="G529" s="48">
        <f t="shared" si="112"/>
        <v>0</v>
      </c>
      <c r="H529" s="49">
        <f t="shared" si="108"/>
        <v>0</v>
      </c>
      <c r="I529" s="47">
        <f t="shared" si="118"/>
        <v>0</v>
      </c>
      <c r="J529" s="47">
        <f t="shared" si="113"/>
        <v>0</v>
      </c>
      <c r="K529" s="50">
        <f t="shared" si="114"/>
        <v>0</v>
      </c>
      <c r="L529" s="63"/>
      <c r="M529" s="67"/>
      <c r="N529" s="51">
        <f t="shared" si="109"/>
        <v>7</v>
      </c>
      <c r="O529" s="19">
        <f t="shared" si="115"/>
        <v>10</v>
      </c>
      <c r="P529" s="20">
        <f t="shared" si="110"/>
        <v>0</v>
      </c>
      <c r="Q529" s="21"/>
      <c r="R529" s="21"/>
      <c r="S529" s="21"/>
      <c r="T529" s="21"/>
      <c r="U529" s="21"/>
      <c r="V529" s="21"/>
      <c r="W529" s="21"/>
      <c r="X529" s="21"/>
      <c r="Y529" s="21"/>
      <c r="Z529" s="21"/>
    </row>
    <row r="530" spans="1:26">
      <c r="A530" s="57">
        <v>523</v>
      </c>
      <c r="B530" s="70"/>
      <c r="C530" s="45">
        <f t="shared" si="116"/>
        <v>57110</v>
      </c>
      <c r="D530" s="46">
        <f t="shared" si="107"/>
        <v>0</v>
      </c>
      <c r="E530" s="47">
        <f t="shared" si="111"/>
        <v>0</v>
      </c>
      <c r="F530" s="47">
        <f t="shared" si="117"/>
        <v>0</v>
      </c>
      <c r="G530" s="48">
        <f t="shared" si="112"/>
        <v>0</v>
      </c>
      <c r="H530" s="49">
        <f t="shared" si="108"/>
        <v>0</v>
      </c>
      <c r="I530" s="47">
        <f t="shared" si="118"/>
        <v>0</v>
      </c>
      <c r="J530" s="47">
        <f t="shared" si="113"/>
        <v>0</v>
      </c>
      <c r="K530" s="50">
        <f t="shared" si="114"/>
        <v>0</v>
      </c>
      <c r="L530" s="63"/>
      <c r="M530" s="67"/>
      <c r="N530" s="51">
        <f t="shared" si="109"/>
        <v>7</v>
      </c>
      <c r="O530" s="19">
        <f t="shared" si="115"/>
        <v>10</v>
      </c>
      <c r="P530" s="20">
        <f t="shared" si="110"/>
        <v>0</v>
      </c>
      <c r="Q530" s="21"/>
      <c r="R530" s="21"/>
      <c r="S530" s="21"/>
      <c r="T530" s="21"/>
      <c r="U530" s="21"/>
      <c r="V530" s="21"/>
      <c r="W530" s="21"/>
      <c r="X530" s="21"/>
      <c r="Y530" s="21"/>
      <c r="Z530" s="21"/>
    </row>
    <row r="531" spans="1:26">
      <c r="A531" s="57">
        <v>524</v>
      </c>
      <c r="B531" s="70"/>
      <c r="C531" s="45">
        <f t="shared" si="116"/>
        <v>57141</v>
      </c>
      <c r="D531" s="46">
        <f t="shared" si="107"/>
        <v>0</v>
      </c>
      <c r="E531" s="47">
        <f t="shared" si="111"/>
        <v>0</v>
      </c>
      <c r="F531" s="47">
        <f t="shared" si="117"/>
        <v>0</v>
      </c>
      <c r="G531" s="48">
        <f t="shared" si="112"/>
        <v>0</v>
      </c>
      <c r="H531" s="49">
        <f t="shared" si="108"/>
        <v>0</v>
      </c>
      <c r="I531" s="47">
        <f t="shared" si="118"/>
        <v>0</v>
      </c>
      <c r="J531" s="47">
        <f t="shared" si="113"/>
        <v>0</v>
      </c>
      <c r="K531" s="50">
        <f t="shared" si="114"/>
        <v>0</v>
      </c>
      <c r="L531" s="63"/>
      <c r="M531" s="67"/>
      <c r="N531" s="51">
        <f t="shared" si="109"/>
        <v>7</v>
      </c>
      <c r="O531" s="19">
        <f t="shared" si="115"/>
        <v>10</v>
      </c>
      <c r="P531" s="20">
        <f t="shared" si="110"/>
        <v>0</v>
      </c>
      <c r="Q531" s="21"/>
      <c r="R531" s="21"/>
      <c r="S531" s="21"/>
      <c r="T531" s="21"/>
      <c r="U531" s="21"/>
      <c r="V531" s="21"/>
      <c r="W531" s="21"/>
      <c r="X531" s="21"/>
      <c r="Y531" s="21"/>
      <c r="Z531" s="21"/>
    </row>
    <row r="532" spans="1:26">
      <c r="A532" s="57">
        <v>525</v>
      </c>
      <c r="B532" s="70"/>
      <c r="C532" s="45">
        <f t="shared" si="116"/>
        <v>57171</v>
      </c>
      <c r="D532" s="46">
        <f t="shared" si="107"/>
        <v>0</v>
      </c>
      <c r="E532" s="47">
        <f t="shared" si="111"/>
        <v>0</v>
      </c>
      <c r="F532" s="47">
        <f t="shared" si="117"/>
        <v>0</v>
      </c>
      <c r="G532" s="48">
        <f t="shared" si="112"/>
        <v>0</v>
      </c>
      <c r="H532" s="49">
        <f t="shared" si="108"/>
        <v>0</v>
      </c>
      <c r="I532" s="47">
        <f t="shared" si="118"/>
        <v>0</v>
      </c>
      <c r="J532" s="47">
        <f t="shared" si="113"/>
        <v>0</v>
      </c>
      <c r="K532" s="50">
        <f t="shared" si="114"/>
        <v>0</v>
      </c>
      <c r="L532" s="63"/>
      <c r="M532" s="67"/>
      <c r="N532" s="51">
        <f t="shared" si="109"/>
        <v>7</v>
      </c>
      <c r="O532" s="19">
        <f t="shared" si="115"/>
        <v>10</v>
      </c>
      <c r="P532" s="20">
        <f t="shared" si="110"/>
        <v>0</v>
      </c>
      <c r="Q532" s="21"/>
      <c r="R532" s="21"/>
      <c r="S532" s="21"/>
      <c r="T532" s="21"/>
      <c r="U532" s="21"/>
      <c r="V532" s="21"/>
      <c r="W532" s="21"/>
      <c r="X532" s="21"/>
      <c r="Y532" s="21"/>
      <c r="Z532" s="21"/>
    </row>
    <row r="533" spans="1:26">
      <c r="A533" s="57">
        <v>526</v>
      </c>
      <c r="B533" s="70"/>
      <c r="C533" s="45">
        <f t="shared" si="116"/>
        <v>57202</v>
      </c>
      <c r="D533" s="46">
        <f t="shared" si="107"/>
        <v>0</v>
      </c>
      <c r="E533" s="47">
        <f t="shared" si="111"/>
        <v>0</v>
      </c>
      <c r="F533" s="47">
        <f t="shared" si="117"/>
        <v>0</v>
      </c>
      <c r="G533" s="48">
        <f t="shared" si="112"/>
        <v>0</v>
      </c>
      <c r="H533" s="49">
        <f t="shared" si="108"/>
        <v>0</v>
      </c>
      <c r="I533" s="47">
        <f t="shared" si="118"/>
        <v>0</v>
      </c>
      <c r="J533" s="47">
        <f t="shared" si="113"/>
        <v>0</v>
      </c>
      <c r="K533" s="50">
        <f t="shared" si="114"/>
        <v>0</v>
      </c>
      <c r="L533" s="63"/>
      <c r="M533" s="67"/>
      <c r="N533" s="51">
        <f t="shared" si="109"/>
        <v>7</v>
      </c>
      <c r="O533" s="19">
        <f t="shared" si="115"/>
        <v>10</v>
      </c>
      <c r="P533" s="20">
        <f t="shared" si="110"/>
        <v>0</v>
      </c>
      <c r="Q533" s="21"/>
      <c r="R533" s="21"/>
      <c r="S533" s="21"/>
      <c r="T533" s="21"/>
      <c r="U533" s="21"/>
      <c r="V533" s="21"/>
      <c r="W533" s="21"/>
      <c r="X533" s="21"/>
      <c r="Y533" s="21"/>
      <c r="Z533" s="21"/>
    </row>
    <row r="534" spans="1:26">
      <c r="A534" s="57">
        <v>527</v>
      </c>
      <c r="B534" s="70"/>
      <c r="C534" s="45">
        <f t="shared" si="116"/>
        <v>57233</v>
      </c>
      <c r="D534" s="46">
        <f t="shared" si="107"/>
        <v>0</v>
      </c>
      <c r="E534" s="47">
        <f t="shared" si="111"/>
        <v>0</v>
      </c>
      <c r="F534" s="47">
        <f t="shared" si="117"/>
        <v>0</v>
      </c>
      <c r="G534" s="48">
        <f t="shared" si="112"/>
        <v>0</v>
      </c>
      <c r="H534" s="49">
        <f t="shared" si="108"/>
        <v>0</v>
      </c>
      <c r="I534" s="47">
        <f t="shared" si="118"/>
        <v>0</v>
      </c>
      <c r="J534" s="47">
        <f t="shared" si="113"/>
        <v>0</v>
      </c>
      <c r="K534" s="50">
        <f t="shared" si="114"/>
        <v>0</v>
      </c>
      <c r="L534" s="63"/>
      <c r="M534" s="67"/>
      <c r="N534" s="51">
        <f t="shared" si="109"/>
        <v>7</v>
      </c>
      <c r="O534" s="19">
        <f t="shared" si="115"/>
        <v>10</v>
      </c>
      <c r="P534" s="20">
        <f t="shared" si="110"/>
        <v>0</v>
      </c>
      <c r="Q534" s="21"/>
      <c r="R534" s="21"/>
      <c r="S534" s="21"/>
      <c r="T534" s="21"/>
      <c r="U534" s="21"/>
      <c r="V534" s="21"/>
      <c r="W534" s="21"/>
      <c r="X534" s="21"/>
      <c r="Y534" s="21"/>
      <c r="Z534" s="21"/>
    </row>
    <row r="535" spans="1:26">
      <c r="A535" s="58">
        <v>528</v>
      </c>
      <c r="B535" s="70"/>
      <c r="C535" s="45">
        <f t="shared" si="116"/>
        <v>57263</v>
      </c>
      <c r="D535" s="46">
        <f t="shared" si="107"/>
        <v>0</v>
      </c>
      <c r="E535" s="59">
        <f t="shared" si="111"/>
        <v>0</v>
      </c>
      <c r="F535" s="47">
        <f t="shared" si="117"/>
        <v>0</v>
      </c>
      <c r="G535" s="60">
        <f t="shared" si="112"/>
        <v>0</v>
      </c>
      <c r="H535" s="61">
        <f t="shared" si="108"/>
        <v>0</v>
      </c>
      <c r="I535" s="59">
        <f t="shared" si="118"/>
        <v>0</v>
      </c>
      <c r="J535" s="59">
        <f t="shared" si="113"/>
        <v>0</v>
      </c>
      <c r="K535" s="62">
        <f t="shared" si="114"/>
        <v>0</v>
      </c>
      <c r="L535" s="66"/>
      <c r="M535" s="68"/>
      <c r="N535" s="51">
        <f t="shared" si="109"/>
        <v>7</v>
      </c>
      <c r="O535" s="19">
        <f t="shared" si="115"/>
        <v>10</v>
      </c>
      <c r="P535" s="20">
        <f t="shared" si="110"/>
        <v>0</v>
      </c>
      <c r="Q535" s="21"/>
      <c r="R535" s="21"/>
      <c r="S535" s="21"/>
      <c r="T535" s="21"/>
      <c r="U535" s="21"/>
      <c r="V535" s="21"/>
      <c r="W535" s="21"/>
      <c r="X535" s="21"/>
      <c r="Y535" s="21"/>
      <c r="Z535" s="21"/>
    </row>
    <row r="536" spans="1:26">
      <c r="A536" s="43">
        <v>529</v>
      </c>
      <c r="B536" s="69"/>
      <c r="C536" s="45">
        <f t="shared" si="116"/>
        <v>57294</v>
      </c>
      <c r="D536" s="46">
        <f t="shared" si="107"/>
        <v>0</v>
      </c>
      <c r="E536" s="47">
        <f t="shared" si="111"/>
        <v>0</v>
      </c>
      <c r="F536" s="47">
        <f t="shared" si="117"/>
        <v>0</v>
      </c>
      <c r="G536" s="48">
        <f t="shared" si="112"/>
        <v>0</v>
      </c>
      <c r="H536" s="49">
        <f t="shared" si="108"/>
        <v>0</v>
      </c>
      <c r="I536" s="47">
        <f t="shared" si="118"/>
        <v>0</v>
      </c>
      <c r="J536" s="47">
        <f t="shared" si="113"/>
        <v>0</v>
      </c>
      <c r="K536" s="50">
        <f t="shared" si="114"/>
        <v>0</v>
      </c>
      <c r="L536" s="63"/>
      <c r="M536" s="67"/>
      <c r="N536" s="51">
        <f t="shared" si="109"/>
        <v>7</v>
      </c>
      <c r="O536" s="19">
        <f t="shared" si="115"/>
        <v>10</v>
      </c>
      <c r="P536" s="20">
        <f t="shared" si="110"/>
        <v>0</v>
      </c>
      <c r="Q536" s="21"/>
      <c r="R536" s="21"/>
      <c r="S536" s="21"/>
      <c r="T536" s="21"/>
      <c r="U536" s="21"/>
      <c r="V536" s="21"/>
      <c r="W536" s="21"/>
      <c r="X536" s="21"/>
      <c r="Y536" s="21"/>
      <c r="Z536" s="21"/>
    </row>
    <row r="537" spans="1:26">
      <c r="A537" s="43">
        <v>530</v>
      </c>
      <c r="B537" s="69"/>
      <c r="C537" s="45">
        <f t="shared" si="116"/>
        <v>57324</v>
      </c>
      <c r="D537" s="46">
        <f t="shared" si="107"/>
        <v>0</v>
      </c>
      <c r="E537" s="47">
        <f t="shared" si="111"/>
        <v>0</v>
      </c>
      <c r="F537" s="47">
        <f t="shared" si="117"/>
        <v>0</v>
      </c>
      <c r="G537" s="48">
        <f t="shared" si="112"/>
        <v>0</v>
      </c>
      <c r="H537" s="49">
        <f t="shared" si="108"/>
        <v>0</v>
      </c>
      <c r="I537" s="47">
        <f t="shared" si="118"/>
        <v>0</v>
      </c>
      <c r="J537" s="47">
        <f t="shared" si="113"/>
        <v>0</v>
      </c>
      <c r="K537" s="50">
        <f t="shared" si="114"/>
        <v>0</v>
      </c>
      <c r="L537" s="63"/>
      <c r="M537" s="67"/>
      <c r="N537" s="51">
        <f t="shared" si="109"/>
        <v>7</v>
      </c>
      <c r="O537" s="19">
        <f t="shared" si="115"/>
        <v>10</v>
      </c>
      <c r="P537" s="20">
        <f t="shared" si="110"/>
        <v>0</v>
      </c>
      <c r="Q537" s="21"/>
      <c r="R537" s="21"/>
      <c r="S537" s="21"/>
      <c r="T537" s="21"/>
      <c r="U537" s="21"/>
      <c r="V537" s="21"/>
      <c r="W537" s="21"/>
      <c r="X537" s="21"/>
      <c r="Y537" s="21"/>
      <c r="Z537" s="21"/>
    </row>
    <row r="538" spans="1:26">
      <c r="A538" s="43">
        <v>531</v>
      </c>
      <c r="B538" s="69"/>
      <c r="C538" s="45">
        <f t="shared" si="116"/>
        <v>57355</v>
      </c>
      <c r="D538" s="46">
        <f t="shared" si="107"/>
        <v>0</v>
      </c>
      <c r="E538" s="47">
        <f t="shared" si="111"/>
        <v>0</v>
      </c>
      <c r="F538" s="47">
        <f t="shared" si="117"/>
        <v>0</v>
      </c>
      <c r="G538" s="48">
        <f t="shared" si="112"/>
        <v>0</v>
      </c>
      <c r="H538" s="49">
        <f t="shared" si="108"/>
        <v>0</v>
      </c>
      <c r="I538" s="47">
        <f t="shared" si="118"/>
        <v>0</v>
      </c>
      <c r="J538" s="47">
        <f t="shared" si="113"/>
        <v>0</v>
      </c>
      <c r="K538" s="50">
        <f t="shared" si="114"/>
        <v>0</v>
      </c>
      <c r="L538" s="63"/>
      <c r="M538" s="67"/>
      <c r="N538" s="51">
        <f t="shared" si="109"/>
        <v>7</v>
      </c>
      <c r="O538" s="19">
        <f t="shared" si="115"/>
        <v>10</v>
      </c>
      <c r="P538" s="20">
        <f t="shared" si="110"/>
        <v>0</v>
      </c>
      <c r="Q538" s="21"/>
      <c r="R538" s="21"/>
      <c r="S538" s="21"/>
      <c r="T538" s="21"/>
      <c r="U538" s="21"/>
      <c r="V538" s="21"/>
      <c r="W538" s="21"/>
      <c r="X538" s="21"/>
      <c r="Y538" s="21"/>
      <c r="Z538" s="21"/>
    </row>
    <row r="539" spans="1:26">
      <c r="A539" s="43">
        <v>532</v>
      </c>
      <c r="B539" s="69"/>
      <c r="C539" s="45">
        <f t="shared" si="116"/>
        <v>57386</v>
      </c>
      <c r="D539" s="46">
        <f t="shared" si="107"/>
        <v>0</v>
      </c>
      <c r="E539" s="47">
        <f t="shared" si="111"/>
        <v>0</v>
      </c>
      <c r="F539" s="47">
        <f t="shared" si="117"/>
        <v>0</v>
      </c>
      <c r="G539" s="48">
        <f t="shared" si="112"/>
        <v>0</v>
      </c>
      <c r="H539" s="49">
        <f t="shared" si="108"/>
        <v>0</v>
      </c>
      <c r="I539" s="47">
        <f t="shared" si="118"/>
        <v>0</v>
      </c>
      <c r="J539" s="47">
        <f t="shared" si="113"/>
        <v>0</v>
      </c>
      <c r="K539" s="50">
        <f t="shared" si="114"/>
        <v>0</v>
      </c>
      <c r="L539" s="63"/>
      <c r="M539" s="67"/>
      <c r="N539" s="51">
        <f t="shared" si="109"/>
        <v>7</v>
      </c>
      <c r="O539" s="19">
        <f t="shared" si="115"/>
        <v>10</v>
      </c>
      <c r="P539" s="20">
        <f t="shared" si="110"/>
        <v>0</v>
      </c>
      <c r="Q539" s="21"/>
      <c r="R539" s="21"/>
      <c r="S539" s="21"/>
      <c r="T539" s="21"/>
      <c r="U539" s="21"/>
      <c r="V539" s="21"/>
      <c r="W539" s="21"/>
      <c r="X539" s="21"/>
      <c r="Y539" s="21"/>
      <c r="Z539" s="21"/>
    </row>
    <row r="540" spans="1:26">
      <c r="A540" s="43">
        <v>533</v>
      </c>
      <c r="B540" s="69"/>
      <c r="C540" s="45">
        <f t="shared" si="116"/>
        <v>57414</v>
      </c>
      <c r="D540" s="46">
        <f t="shared" si="107"/>
        <v>0</v>
      </c>
      <c r="E540" s="47">
        <f t="shared" si="111"/>
        <v>0</v>
      </c>
      <c r="F540" s="47">
        <f t="shared" si="117"/>
        <v>0</v>
      </c>
      <c r="G540" s="48">
        <f t="shared" si="112"/>
        <v>0</v>
      </c>
      <c r="H540" s="49">
        <f t="shared" si="108"/>
        <v>0</v>
      </c>
      <c r="I540" s="47">
        <f t="shared" si="118"/>
        <v>0</v>
      </c>
      <c r="J540" s="47">
        <f t="shared" si="113"/>
        <v>0</v>
      </c>
      <c r="K540" s="50">
        <f t="shared" si="114"/>
        <v>0</v>
      </c>
      <c r="L540" s="63"/>
      <c r="M540" s="67"/>
      <c r="N540" s="51">
        <f t="shared" si="109"/>
        <v>7</v>
      </c>
      <c r="O540" s="19">
        <f t="shared" si="115"/>
        <v>10</v>
      </c>
      <c r="P540" s="20">
        <f t="shared" si="110"/>
        <v>0</v>
      </c>
      <c r="Q540" s="21"/>
      <c r="R540" s="21"/>
      <c r="S540" s="21"/>
      <c r="T540" s="21"/>
      <c r="U540" s="21"/>
      <c r="V540" s="21"/>
      <c r="W540" s="21"/>
      <c r="X540" s="21"/>
      <c r="Y540" s="21"/>
      <c r="Z540" s="21"/>
    </row>
    <row r="541" spans="1:26">
      <c r="A541" s="43">
        <v>534</v>
      </c>
      <c r="B541" s="69"/>
      <c r="C541" s="45">
        <f t="shared" si="116"/>
        <v>57445</v>
      </c>
      <c r="D541" s="46">
        <f t="shared" si="107"/>
        <v>0</v>
      </c>
      <c r="E541" s="47">
        <f t="shared" si="111"/>
        <v>0</v>
      </c>
      <c r="F541" s="47">
        <f t="shared" si="117"/>
        <v>0</v>
      </c>
      <c r="G541" s="48">
        <f t="shared" si="112"/>
        <v>0</v>
      </c>
      <c r="H541" s="49">
        <f t="shared" si="108"/>
        <v>0</v>
      </c>
      <c r="I541" s="47">
        <f t="shared" si="118"/>
        <v>0</v>
      </c>
      <c r="J541" s="47">
        <f t="shared" si="113"/>
        <v>0</v>
      </c>
      <c r="K541" s="50">
        <f t="shared" si="114"/>
        <v>0</v>
      </c>
      <c r="L541" s="63"/>
      <c r="M541" s="67"/>
      <c r="N541" s="51">
        <f t="shared" si="109"/>
        <v>7</v>
      </c>
      <c r="O541" s="19">
        <f t="shared" si="115"/>
        <v>10</v>
      </c>
      <c r="P541" s="20">
        <f t="shared" si="110"/>
        <v>0</v>
      </c>
      <c r="Q541" s="21"/>
      <c r="R541" s="21"/>
      <c r="S541" s="21"/>
      <c r="T541" s="21"/>
      <c r="U541" s="21"/>
      <c r="V541" s="21"/>
      <c r="W541" s="21"/>
      <c r="X541" s="21"/>
      <c r="Y541" s="21"/>
      <c r="Z541" s="21"/>
    </row>
    <row r="542" spans="1:26">
      <c r="A542" s="43">
        <v>535</v>
      </c>
      <c r="B542" s="69"/>
      <c r="C542" s="45">
        <f t="shared" si="116"/>
        <v>57475</v>
      </c>
      <c r="D542" s="46">
        <f t="shared" si="107"/>
        <v>0</v>
      </c>
      <c r="E542" s="47">
        <f t="shared" si="111"/>
        <v>0</v>
      </c>
      <c r="F542" s="47">
        <f t="shared" si="117"/>
        <v>0</v>
      </c>
      <c r="G542" s="48">
        <f t="shared" si="112"/>
        <v>0</v>
      </c>
      <c r="H542" s="49">
        <f t="shared" si="108"/>
        <v>0</v>
      </c>
      <c r="I542" s="47">
        <f t="shared" si="118"/>
        <v>0</v>
      </c>
      <c r="J542" s="47">
        <f t="shared" si="113"/>
        <v>0</v>
      </c>
      <c r="K542" s="50">
        <f t="shared" si="114"/>
        <v>0</v>
      </c>
      <c r="L542" s="63"/>
      <c r="M542" s="67"/>
      <c r="N542" s="51">
        <f t="shared" si="109"/>
        <v>7</v>
      </c>
      <c r="O542" s="19">
        <f t="shared" si="115"/>
        <v>10</v>
      </c>
      <c r="P542" s="20">
        <f t="shared" si="110"/>
        <v>0</v>
      </c>
      <c r="Q542" s="21"/>
      <c r="R542" s="21"/>
      <c r="S542" s="21"/>
      <c r="T542" s="21"/>
      <c r="U542" s="21"/>
      <c r="V542" s="21"/>
      <c r="W542" s="21"/>
      <c r="X542" s="21"/>
      <c r="Y542" s="21"/>
      <c r="Z542" s="21"/>
    </row>
    <row r="543" spans="1:26">
      <c r="A543" s="43">
        <v>536</v>
      </c>
      <c r="B543" s="69"/>
      <c r="C543" s="45">
        <f t="shared" si="116"/>
        <v>57506</v>
      </c>
      <c r="D543" s="46">
        <f t="shared" si="107"/>
        <v>0</v>
      </c>
      <c r="E543" s="47">
        <f t="shared" si="111"/>
        <v>0</v>
      </c>
      <c r="F543" s="47">
        <f t="shared" si="117"/>
        <v>0</v>
      </c>
      <c r="G543" s="48">
        <f t="shared" si="112"/>
        <v>0</v>
      </c>
      <c r="H543" s="49">
        <f t="shared" si="108"/>
        <v>0</v>
      </c>
      <c r="I543" s="47">
        <f t="shared" si="118"/>
        <v>0</v>
      </c>
      <c r="J543" s="47">
        <f t="shared" si="113"/>
        <v>0</v>
      </c>
      <c r="K543" s="50">
        <f t="shared" si="114"/>
        <v>0</v>
      </c>
      <c r="L543" s="63"/>
      <c r="M543" s="67"/>
      <c r="N543" s="51">
        <f t="shared" si="109"/>
        <v>7</v>
      </c>
      <c r="O543" s="19">
        <f t="shared" si="115"/>
        <v>10</v>
      </c>
      <c r="P543" s="20">
        <f t="shared" si="110"/>
        <v>0</v>
      </c>
      <c r="Q543" s="21"/>
      <c r="R543" s="21"/>
      <c r="S543" s="21"/>
      <c r="T543" s="21"/>
      <c r="U543" s="21"/>
      <c r="V543" s="21"/>
      <c r="W543" s="21"/>
      <c r="X543" s="21"/>
      <c r="Y543" s="21"/>
      <c r="Z543" s="21"/>
    </row>
    <row r="544" spans="1:26">
      <c r="A544" s="43">
        <v>537</v>
      </c>
      <c r="B544" s="69"/>
      <c r="C544" s="45">
        <f t="shared" si="116"/>
        <v>57536</v>
      </c>
      <c r="D544" s="46">
        <f t="shared" si="107"/>
        <v>0</v>
      </c>
      <c r="E544" s="47">
        <f t="shared" si="111"/>
        <v>0</v>
      </c>
      <c r="F544" s="47">
        <f t="shared" si="117"/>
        <v>0</v>
      </c>
      <c r="G544" s="48">
        <f t="shared" si="112"/>
        <v>0</v>
      </c>
      <c r="H544" s="49">
        <f t="shared" si="108"/>
        <v>0</v>
      </c>
      <c r="I544" s="47">
        <f t="shared" si="118"/>
        <v>0</v>
      </c>
      <c r="J544" s="47">
        <f t="shared" si="113"/>
        <v>0</v>
      </c>
      <c r="K544" s="50">
        <f t="shared" si="114"/>
        <v>0</v>
      </c>
      <c r="L544" s="63"/>
      <c r="M544" s="67"/>
      <c r="N544" s="51">
        <f t="shared" si="109"/>
        <v>7</v>
      </c>
      <c r="O544" s="19">
        <f t="shared" si="115"/>
        <v>10</v>
      </c>
      <c r="P544" s="20">
        <f t="shared" si="110"/>
        <v>0</v>
      </c>
      <c r="Q544" s="21"/>
      <c r="R544" s="21"/>
      <c r="S544" s="21"/>
      <c r="T544" s="21"/>
      <c r="U544" s="21"/>
      <c r="V544" s="21"/>
      <c r="W544" s="21"/>
      <c r="X544" s="21"/>
      <c r="Y544" s="21"/>
      <c r="Z544" s="21"/>
    </row>
    <row r="545" spans="1:26">
      <c r="A545" s="43">
        <v>538</v>
      </c>
      <c r="B545" s="69"/>
      <c r="C545" s="45">
        <f t="shared" si="116"/>
        <v>57567</v>
      </c>
      <c r="D545" s="46">
        <f t="shared" si="107"/>
        <v>0</v>
      </c>
      <c r="E545" s="47">
        <f t="shared" si="111"/>
        <v>0</v>
      </c>
      <c r="F545" s="47">
        <f t="shared" si="117"/>
        <v>0</v>
      </c>
      <c r="G545" s="48">
        <f t="shared" si="112"/>
        <v>0</v>
      </c>
      <c r="H545" s="49">
        <f t="shared" si="108"/>
        <v>0</v>
      </c>
      <c r="I545" s="47">
        <f t="shared" si="118"/>
        <v>0</v>
      </c>
      <c r="J545" s="47">
        <f t="shared" si="113"/>
        <v>0</v>
      </c>
      <c r="K545" s="50">
        <f t="shared" si="114"/>
        <v>0</v>
      </c>
      <c r="L545" s="63"/>
      <c r="M545" s="67"/>
      <c r="N545" s="51">
        <f t="shared" si="109"/>
        <v>7</v>
      </c>
      <c r="O545" s="19">
        <f t="shared" si="115"/>
        <v>10</v>
      </c>
      <c r="P545" s="20">
        <f t="shared" si="110"/>
        <v>0</v>
      </c>
      <c r="Q545" s="21"/>
      <c r="R545" s="21"/>
      <c r="S545" s="21"/>
      <c r="T545" s="21"/>
      <c r="U545" s="21"/>
      <c r="V545" s="21"/>
      <c r="W545" s="21"/>
      <c r="X545" s="21"/>
      <c r="Y545" s="21"/>
      <c r="Z545" s="21"/>
    </row>
    <row r="546" spans="1:26">
      <c r="A546" s="43">
        <v>539</v>
      </c>
      <c r="B546" s="69"/>
      <c r="C546" s="45">
        <f t="shared" si="116"/>
        <v>57598</v>
      </c>
      <c r="D546" s="46">
        <f t="shared" si="107"/>
        <v>0</v>
      </c>
      <c r="E546" s="47">
        <f t="shared" si="111"/>
        <v>0</v>
      </c>
      <c r="F546" s="47">
        <f t="shared" si="117"/>
        <v>0</v>
      </c>
      <c r="G546" s="48">
        <f t="shared" si="112"/>
        <v>0</v>
      </c>
      <c r="H546" s="49">
        <f t="shared" si="108"/>
        <v>0</v>
      </c>
      <c r="I546" s="47">
        <f t="shared" si="118"/>
        <v>0</v>
      </c>
      <c r="J546" s="47">
        <f t="shared" si="113"/>
        <v>0</v>
      </c>
      <c r="K546" s="50">
        <f t="shared" si="114"/>
        <v>0</v>
      </c>
      <c r="L546" s="63"/>
      <c r="M546" s="67"/>
      <c r="N546" s="51">
        <f t="shared" si="109"/>
        <v>7</v>
      </c>
      <c r="O546" s="19">
        <f t="shared" si="115"/>
        <v>10</v>
      </c>
      <c r="P546" s="20">
        <f t="shared" si="110"/>
        <v>0</v>
      </c>
      <c r="Q546" s="21"/>
      <c r="R546" s="21"/>
      <c r="S546" s="21"/>
      <c r="T546" s="21"/>
      <c r="U546" s="21"/>
      <c r="V546" s="21"/>
      <c r="W546" s="21"/>
      <c r="X546" s="21"/>
      <c r="Y546" s="21"/>
      <c r="Z546" s="21"/>
    </row>
    <row r="547" spans="1:26">
      <c r="A547" s="43">
        <v>540</v>
      </c>
      <c r="B547" s="69"/>
      <c r="C547" s="45">
        <f t="shared" si="116"/>
        <v>57628</v>
      </c>
      <c r="D547" s="46">
        <f t="shared" si="107"/>
        <v>0</v>
      </c>
      <c r="E547" s="47">
        <f t="shared" si="111"/>
        <v>0</v>
      </c>
      <c r="F547" s="47">
        <f t="shared" si="117"/>
        <v>0</v>
      </c>
      <c r="G547" s="48">
        <f t="shared" si="112"/>
        <v>0</v>
      </c>
      <c r="H547" s="49">
        <f t="shared" si="108"/>
        <v>0</v>
      </c>
      <c r="I547" s="47">
        <f t="shared" si="118"/>
        <v>0</v>
      </c>
      <c r="J547" s="47">
        <f t="shared" si="113"/>
        <v>0</v>
      </c>
      <c r="K547" s="50">
        <f t="shared" si="114"/>
        <v>0</v>
      </c>
      <c r="L547" s="63"/>
      <c r="M547" s="67"/>
      <c r="N547" s="51">
        <f t="shared" si="109"/>
        <v>7</v>
      </c>
      <c r="O547" s="19">
        <f t="shared" si="115"/>
        <v>10</v>
      </c>
      <c r="P547" s="20">
        <f t="shared" si="110"/>
        <v>0</v>
      </c>
      <c r="Q547" s="21"/>
      <c r="R547" s="21"/>
      <c r="S547" s="21"/>
      <c r="T547" s="21"/>
      <c r="U547" s="21"/>
      <c r="V547" s="21"/>
      <c r="W547" s="21"/>
      <c r="X547" s="21"/>
      <c r="Y547" s="21"/>
      <c r="Z547" s="21"/>
    </row>
    <row r="548" spans="1:26">
      <c r="A548" s="52">
        <v>541</v>
      </c>
      <c r="B548" s="70"/>
      <c r="C548" s="45">
        <f t="shared" si="116"/>
        <v>57659</v>
      </c>
      <c r="D548" s="46">
        <f t="shared" si="107"/>
        <v>0</v>
      </c>
      <c r="E548" s="53">
        <f t="shared" si="111"/>
        <v>0</v>
      </c>
      <c r="F548" s="47">
        <f t="shared" si="117"/>
        <v>0</v>
      </c>
      <c r="G548" s="54">
        <f t="shared" si="112"/>
        <v>0</v>
      </c>
      <c r="H548" s="55">
        <f t="shared" si="108"/>
        <v>0</v>
      </c>
      <c r="I548" s="53">
        <f t="shared" si="118"/>
        <v>0</v>
      </c>
      <c r="J548" s="53">
        <f t="shared" si="113"/>
        <v>0</v>
      </c>
      <c r="K548" s="56">
        <f t="shared" si="114"/>
        <v>0</v>
      </c>
      <c r="L548" s="65"/>
      <c r="M548" s="64"/>
      <c r="N548" s="51">
        <f t="shared" si="109"/>
        <v>7</v>
      </c>
      <c r="O548" s="19">
        <f t="shared" si="115"/>
        <v>10</v>
      </c>
      <c r="P548" s="20">
        <f t="shared" si="110"/>
        <v>0</v>
      </c>
      <c r="Q548" s="21"/>
      <c r="R548" s="21"/>
      <c r="S548" s="21"/>
      <c r="T548" s="21"/>
      <c r="U548" s="21"/>
      <c r="V548" s="21"/>
      <c r="W548" s="21"/>
      <c r="X548" s="21"/>
      <c r="Y548" s="21"/>
      <c r="Z548" s="21"/>
    </row>
    <row r="549" spans="1:26">
      <c r="A549" s="57">
        <v>542</v>
      </c>
      <c r="B549" s="70"/>
      <c r="C549" s="45">
        <f t="shared" si="116"/>
        <v>57689</v>
      </c>
      <c r="D549" s="46">
        <f t="shared" si="107"/>
        <v>0</v>
      </c>
      <c r="E549" s="47">
        <f t="shared" si="111"/>
        <v>0</v>
      </c>
      <c r="F549" s="47">
        <f t="shared" si="117"/>
        <v>0</v>
      </c>
      <c r="G549" s="48">
        <f t="shared" si="112"/>
        <v>0</v>
      </c>
      <c r="H549" s="49">
        <f t="shared" si="108"/>
        <v>0</v>
      </c>
      <c r="I549" s="47">
        <f t="shared" si="118"/>
        <v>0</v>
      </c>
      <c r="J549" s="47">
        <f t="shared" si="113"/>
        <v>0</v>
      </c>
      <c r="K549" s="50">
        <f t="shared" si="114"/>
        <v>0</v>
      </c>
      <c r="L549" s="63"/>
      <c r="M549" s="67"/>
      <c r="N549" s="51">
        <f t="shared" si="109"/>
        <v>7</v>
      </c>
      <c r="O549" s="19">
        <f t="shared" si="115"/>
        <v>10</v>
      </c>
      <c r="P549" s="20">
        <f t="shared" si="110"/>
        <v>0</v>
      </c>
      <c r="Q549" s="21"/>
      <c r="R549" s="21"/>
      <c r="S549" s="21"/>
      <c r="T549" s="21"/>
      <c r="U549" s="21"/>
      <c r="V549" s="21"/>
      <c r="W549" s="21"/>
      <c r="X549" s="21"/>
      <c r="Y549" s="21"/>
      <c r="Z549" s="21"/>
    </row>
    <row r="550" spans="1:26">
      <c r="A550" s="57">
        <v>543</v>
      </c>
      <c r="B550" s="70"/>
      <c r="C550" s="45">
        <f t="shared" si="116"/>
        <v>57720</v>
      </c>
      <c r="D550" s="46">
        <f t="shared" si="107"/>
        <v>0</v>
      </c>
      <c r="E550" s="47">
        <f t="shared" si="111"/>
        <v>0</v>
      </c>
      <c r="F550" s="47">
        <f t="shared" si="117"/>
        <v>0</v>
      </c>
      <c r="G550" s="48">
        <f t="shared" si="112"/>
        <v>0</v>
      </c>
      <c r="H550" s="49">
        <f t="shared" si="108"/>
        <v>0</v>
      </c>
      <c r="I550" s="47">
        <f t="shared" si="118"/>
        <v>0</v>
      </c>
      <c r="J550" s="47">
        <f t="shared" si="113"/>
        <v>0</v>
      </c>
      <c r="K550" s="50">
        <f t="shared" si="114"/>
        <v>0</v>
      </c>
      <c r="L550" s="63"/>
      <c r="M550" s="67"/>
      <c r="N550" s="51">
        <f t="shared" si="109"/>
        <v>7</v>
      </c>
      <c r="O550" s="19">
        <f t="shared" si="115"/>
        <v>10</v>
      </c>
      <c r="P550" s="20">
        <f t="shared" si="110"/>
        <v>0</v>
      </c>
      <c r="Q550" s="21"/>
      <c r="R550" s="21"/>
      <c r="S550" s="21"/>
      <c r="T550" s="21"/>
      <c r="U550" s="21"/>
      <c r="V550" s="21"/>
      <c r="W550" s="21"/>
      <c r="X550" s="21"/>
      <c r="Y550" s="21"/>
      <c r="Z550" s="21"/>
    </row>
    <row r="551" spans="1:26">
      <c r="A551" s="57">
        <v>544</v>
      </c>
      <c r="B551" s="70"/>
      <c r="C551" s="45">
        <f t="shared" si="116"/>
        <v>57751</v>
      </c>
      <c r="D551" s="46">
        <f t="shared" si="107"/>
        <v>0</v>
      </c>
      <c r="E551" s="47">
        <f t="shared" si="111"/>
        <v>0</v>
      </c>
      <c r="F551" s="47">
        <f t="shared" si="117"/>
        <v>0</v>
      </c>
      <c r="G551" s="48">
        <f t="shared" si="112"/>
        <v>0</v>
      </c>
      <c r="H551" s="49">
        <f t="shared" si="108"/>
        <v>0</v>
      </c>
      <c r="I551" s="47">
        <f t="shared" si="118"/>
        <v>0</v>
      </c>
      <c r="J551" s="47">
        <f t="shared" si="113"/>
        <v>0</v>
      </c>
      <c r="K551" s="50">
        <f t="shared" si="114"/>
        <v>0</v>
      </c>
      <c r="L551" s="63"/>
      <c r="M551" s="67"/>
      <c r="N551" s="51">
        <f t="shared" si="109"/>
        <v>7</v>
      </c>
      <c r="O551" s="19">
        <f t="shared" si="115"/>
        <v>10</v>
      </c>
      <c r="P551" s="20">
        <f t="shared" si="110"/>
        <v>0</v>
      </c>
      <c r="Q551" s="21"/>
      <c r="R551" s="21"/>
      <c r="S551" s="21"/>
      <c r="T551" s="21"/>
      <c r="U551" s="21"/>
      <c r="V551" s="21"/>
      <c r="W551" s="21"/>
      <c r="X551" s="21"/>
      <c r="Y551" s="21"/>
      <c r="Z551" s="21"/>
    </row>
    <row r="552" spans="1:26">
      <c r="A552" s="57">
        <v>545</v>
      </c>
      <c r="B552" s="70"/>
      <c r="C552" s="45">
        <f t="shared" si="116"/>
        <v>57779</v>
      </c>
      <c r="D552" s="46">
        <f t="shared" si="107"/>
        <v>0</v>
      </c>
      <c r="E552" s="47">
        <f t="shared" si="111"/>
        <v>0</v>
      </c>
      <c r="F552" s="47">
        <f t="shared" si="117"/>
        <v>0</v>
      </c>
      <c r="G552" s="48">
        <f t="shared" si="112"/>
        <v>0</v>
      </c>
      <c r="H552" s="49">
        <f t="shared" si="108"/>
        <v>0</v>
      </c>
      <c r="I552" s="47">
        <f t="shared" si="118"/>
        <v>0</v>
      </c>
      <c r="J552" s="47">
        <f t="shared" si="113"/>
        <v>0</v>
      </c>
      <c r="K552" s="50">
        <f t="shared" si="114"/>
        <v>0</v>
      </c>
      <c r="L552" s="63"/>
      <c r="M552" s="67"/>
      <c r="N552" s="51">
        <f t="shared" si="109"/>
        <v>7</v>
      </c>
      <c r="O552" s="19">
        <f t="shared" si="115"/>
        <v>10</v>
      </c>
      <c r="P552" s="20">
        <f t="shared" si="110"/>
        <v>0</v>
      </c>
      <c r="Q552" s="21"/>
      <c r="R552" s="21"/>
      <c r="S552" s="21"/>
      <c r="T552" s="21"/>
      <c r="U552" s="21"/>
      <c r="V552" s="21"/>
      <c r="W552" s="21"/>
      <c r="X552" s="21"/>
      <c r="Y552" s="21"/>
      <c r="Z552" s="21"/>
    </row>
    <row r="553" spans="1:26">
      <c r="A553" s="57">
        <v>546</v>
      </c>
      <c r="B553" s="70"/>
      <c r="C553" s="45">
        <f t="shared" si="116"/>
        <v>57810</v>
      </c>
      <c r="D553" s="46">
        <f t="shared" si="107"/>
        <v>0</v>
      </c>
      <c r="E553" s="47">
        <f t="shared" si="111"/>
        <v>0</v>
      </c>
      <c r="F553" s="47">
        <f t="shared" si="117"/>
        <v>0</v>
      </c>
      <c r="G553" s="48">
        <f t="shared" si="112"/>
        <v>0</v>
      </c>
      <c r="H553" s="49">
        <f t="shared" si="108"/>
        <v>0</v>
      </c>
      <c r="I553" s="47">
        <f t="shared" si="118"/>
        <v>0</v>
      </c>
      <c r="J553" s="47">
        <f t="shared" si="113"/>
        <v>0</v>
      </c>
      <c r="K553" s="50">
        <f t="shared" si="114"/>
        <v>0</v>
      </c>
      <c r="L553" s="63"/>
      <c r="M553" s="67"/>
      <c r="N553" s="51">
        <f t="shared" si="109"/>
        <v>7</v>
      </c>
      <c r="O553" s="19">
        <f t="shared" si="115"/>
        <v>10</v>
      </c>
      <c r="P553" s="20">
        <f t="shared" si="110"/>
        <v>0</v>
      </c>
      <c r="Q553" s="21"/>
      <c r="R553" s="21"/>
      <c r="S553" s="21"/>
      <c r="T553" s="21"/>
      <c r="U553" s="21"/>
      <c r="V553" s="21"/>
      <c r="W553" s="21"/>
      <c r="X553" s="21"/>
      <c r="Y553" s="21"/>
      <c r="Z553" s="21"/>
    </row>
    <row r="554" spans="1:26">
      <c r="A554" s="57">
        <v>547</v>
      </c>
      <c r="B554" s="70"/>
      <c r="C554" s="45">
        <f t="shared" si="116"/>
        <v>57840</v>
      </c>
      <c r="D554" s="46">
        <f t="shared" si="107"/>
        <v>0</v>
      </c>
      <c r="E554" s="47">
        <f t="shared" si="111"/>
        <v>0</v>
      </c>
      <c r="F554" s="47">
        <f t="shared" si="117"/>
        <v>0</v>
      </c>
      <c r="G554" s="48">
        <f t="shared" si="112"/>
        <v>0</v>
      </c>
      <c r="H554" s="49">
        <f t="shared" si="108"/>
        <v>0</v>
      </c>
      <c r="I554" s="47">
        <f t="shared" si="118"/>
        <v>0</v>
      </c>
      <c r="J554" s="47">
        <f t="shared" si="113"/>
        <v>0</v>
      </c>
      <c r="K554" s="50">
        <f t="shared" si="114"/>
        <v>0</v>
      </c>
      <c r="L554" s="63"/>
      <c r="M554" s="67"/>
      <c r="N554" s="51">
        <f t="shared" si="109"/>
        <v>7</v>
      </c>
      <c r="O554" s="19">
        <f t="shared" si="115"/>
        <v>10</v>
      </c>
      <c r="P554" s="20">
        <f t="shared" si="110"/>
        <v>0</v>
      </c>
      <c r="Q554" s="21"/>
      <c r="R554" s="21"/>
      <c r="S554" s="21"/>
      <c r="T554" s="21"/>
      <c r="U554" s="21"/>
      <c r="V554" s="21"/>
      <c r="W554" s="21"/>
      <c r="X554" s="21"/>
      <c r="Y554" s="21"/>
      <c r="Z554" s="21"/>
    </row>
    <row r="555" spans="1:26">
      <c r="A555" s="57">
        <v>548</v>
      </c>
      <c r="B555" s="70"/>
      <c r="C555" s="45">
        <f t="shared" si="116"/>
        <v>57871</v>
      </c>
      <c r="D555" s="46">
        <f t="shared" si="107"/>
        <v>0</v>
      </c>
      <c r="E555" s="47">
        <f t="shared" si="111"/>
        <v>0</v>
      </c>
      <c r="F555" s="47">
        <f t="shared" si="117"/>
        <v>0</v>
      </c>
      <c r="G555" s="48">
        <f t="shared" si="112"/>
        <v>0</v>
      </c>
      <c r="H555" s="49">
        <f t="shared" si="108"/>
        <v>0</v>
      </c>
      <c r="I555" s="47">
        <f t="shared" si="118"/>
        <v>0</v>
      </c>
      <c r="J555" s="47">
        <f t="shared" si="113"/>
        <v>0</v>
      </c>
      <c r="K555" s="50">
        <f t="shared" si="114"/>
        <v>0</v>
      </c>
      <c r="L555" s="63"/>
      <c r="M555" s="67"/>
      <c r="N555" s="51">
        <f t="shared" si="109"/>
        <v>7</v>
      </c>
      <c r="O555" s="19">
        <f t="shared" si="115"/>
        <v>10</v>
      </c>
      <c r="P555" s="20">
        <f t="shared" si="110"/>
        <v>0</v>
      </c>
      <c r="Q555" s="21"/>
      <c r="R555" s="21"/>
      <c r="S555" s="21"/>
      <c r="T555" s="21"/>
      <c r="U555" s="21"/>
      <c r="V555" s="21"/>
      <c r="W555" s="21"/>
      <c r="X555" s="21"/>
      <c r="Y555" s="21"/>
      <c r="Z555" s="21"/>
    </row>
    <row r="556" spans="1:26">
      <c r="A556" s="57">
        <v>549</v>
      </c>
      <c r="B556" s="70"/>
      <c r="C556" s="45">
        <f t="shared" si="116"/>
        <v>57901</v>
      </c>
      <c r="D556" s="46">
        <f t="shared" si="107"/>
        <v>0</v>
      </c>
      <c r="E556" s="47">
        <f t="shared" si="111"/>
        <v>0</v>
      </c>
      <c r="F556" s="47">
        <f t="shared" si="117"/>
        <v>0</v>
      </c>
      <c r="G556" s="48">
        <f t="shared" si="112"/>
        <v>0</v>
      </c>
      <c r="H556" s="49">
        <f t="shared" si="108"/>
        <v>0</v>
      </c>
      <c r="I556" s="47">
        <f t="shared" si="118"/>
        <v>0</v>
      </c>
      <c r="J556" s="47">
        <f t="shared" si="113"/>
        <v>0</v>
      </c>
      <c r="K556" s="50">
        <f t="shared" si="114"/>
        <v>0</v>
      </c>
      <c r="L556" s="63"/>
      <c r="M556" s="67"/>
      <c r="N556" s="51">
        <f t="shared" si="109"/>
        <v>7</v>
      </c>
      <c r="O556" s="19">
        <f t="shared" si="115"/>
        <v>10</v>
      </c>
      <c r="P556" s="20">
        <f t="shared" si="110"/>
        <v>0</v>
      </c>
      <c r="Q556" s="21"/>
      <c r="R556" s="21"/>
      <c r="S556" s="21"/>
      <c r="T556" s="21"/>
      <c r="U556" s="21"/>
      <c r="V556" s="21"/>
      <c r="W556" s="21"/>
      <c r="X556" s="21"/>
      <c r="Y556" s="21"/>
      <c r="Z556" s="21"/>
    </row>
    <row r="557" spans="1:26">
      <c r="A557" s="57">
        <v>550</v>
      </c>
      <c r="B557" s="70"/>
      <c r="C557" s="45">
        <f t="shared" si="116"/>
        <v>57932</v>
      </c>
      <c r="D557" s="46">
        <f t="shared" si="107"/>
        <v>0</v>
      </c>
      <c r="E557" s="47">
        <f t="shared" si="111"/>
        <v>0</v>
      </c>
      <c r="F557" s="47">
        <f t="shared" si="117"/>
        <v>0</v>
      </c>
      <c r="G557" s="48">
        <f t="shared" si="112"/>
        <v>0</v>
      </c>
      <c r="H557" s="49">
        <f t="shared" si="108"/>
        <v>0</v>
      </c>
      <c r="I557" s="47">
        <f t="shared" si="118"/>
        <v>0</v>
      </c>
      <c r="J557" s="47">
        <f t="shared" si="113"/>
        <v>0</v>
      </c>
      <c r="K557" s="50">
        <f t="shared" si="114"/>
        <v>0</v>
      </c>
      <c r="L557" s="63"/>
      <c r="M557" s="67"/>
      <c r="N557" s="51">
        <f t="shared" si="109"/>
        <v>7</v>
      </c>
      <c r="O557" s="19">
        <f t="shared" si="115"/>
        <v>10</v>
      </c>
      <c r="P557" s="20">
        <f t="shared" si="110"/>
        <v>0</v>
      </c>
      <c r="Q557" s="21"/>
      <c r="R557" s="21"/>
      <c r="S557" s="21"/>
      <c r="T557" s="21"/>
      <c r="U557" s="21"/>
      <c r="V557" s="21"/>
      <c r="W557" s="21"/>
      <c r="X557" s="21"/>
      <c r="Y557" s="21"/>
      <c r="Z557" s="21"/>
    </row>
    <row r="558" spans="1:26">
      <c r="A558" s="57">
        <v>551</v>
      </c>
      <c r="B558" s="70"/>
      <c r="C558" s="45">
        <f t="shared" si="116"/>
        <v>57963</v>
      </c>
      <c r="D558" s="46">
        <f t="shared" si="107"/>
        <v>0</v>
      </c>
      <c r="E558" s="47">
        <f t="shared" si="111"/>
        <v>0</v>
      </c>
      <c r="F558" s="47">
        <f t="shared" si="117"/>
        <v>0</v>
      </c>
      <c r="G558" s="48">
        <f t="shared" si="112"/>
        <v>0</v>
      </c>
      <c r="H558" s="49">
        <f t="shared" si="108"/>
        <v>0</v>
      </c>
      <c r="I558" s="47">
        <f t="shared" si="118"/>
        <v>0</v>
      </c>
      <c r="J558" s="47">
        <f t="shared" si="113"/>
        <v>0</v>
      </c>
      <c r="K558" s="50">
        <f t="shared" si="114"/>
        <v>0</v>
      </c>
      <c r="L558" s="63"/>
      <c r="M558" s="67"/>
      <c r="N558" s="51">
        <f t="shared" si="109"/>
        <v>7</v>
      </c>
      <c r="O558" s="19">
        <f t="shared" si="115"/>
        <v>10</v>
      </c>
      <c r="P558" s="20">
        <f t="shared" si="110"/>
        <v>0</v>
      </c>
      <c r="Q558" s="21"/>
      <c r="R558" s="21"/>
      <c r="S558" s="21"/>
      <c r="T558" s="21"/>
      <c r="U558" s="21"/>
      <c r="V558" s="21"/>
      <c r="W558" s="21"/>
      <c r="X558" s="21"/>
      <c r="Y558" s="21"/>
      <c r="Z558" s="21"/>
    </row>
    <row r="559" spans="1:26">
      <c r="A559" s="58">
        <v>552</v>
      </c>
      <c r="B559" s="70"/>
      <c r="C559" s="45">
        <f t="shared" si="116"/>
        <v>57993</v>
      </c>
      <c r="D559" s="46">
        <f t="shared" si="107"/>
        <v>0</v>
      </c>
      <c r="E559" s="59">
        <f t="shared" si="111"/>
        <v>0</v>
      </c>
      <c r="F559" s="47">
        <f t="shared" si="117"/>
        <v>0</v>
      </c>
      <c r="G559" s="60">
        <f t="shared" si="112"/>
        <v>0</v>
      </c>
      <c r="H559" s="61">
        <f t="shared" si="108"/>
        <v>0</v>
      </c>
      <c r="I559" s="59">
        <f t="shared" si="118"/>
        <v>0</v>
      </c>
      <c r="J559" s="59">
        <f t="shared" si="113"/>
        <v>0</v>
      </c>
      <c r="K559" s="62">
        <f t="shared" si="114"/>
        <v>0</v>
      </c>
      <c r="L559" s="66"/>
      <c r="M559" s="68"/>
      <c r="N559" s="51">
        <f t="shared" si="109"/>
        <v>7</v>
      </c>
      <c r="O559" s="19">
        <f t="shared" si="115"/>
        <v>10</v>
      </c>
      <c r="P559" s="20">
        <f t="shared" si="110"/>
        <v>0</v>
      </c>
      <c r="Q559" s="21"/>
      <c r="R559" s="21"/>
      <c r="S559" s="21"/>
      <c r="T559" s="21"/>
      <c r="U559" s="21"/>
      <c r="V559" s="21"/>
      <c r="W559" s="21"/>
      <c r="X559" s="21"/>
      <c r="Y559" s="21"/>
      <c r="Z559" s="21"/>
    </row>
    <row r="560" spans="1:26">
      <c r="A560" s="43">
        <v>553</v>
      </c>
      <c r="B560" s="69"/>
      <c r="C560" s="45">
        <f t="shared" si="116"/>
        <v>58024</v>
      </c>
      <c r="D560" s="46">
        <f t="shared" si="107"/>
        <v>0</v>
      </c>
      <c r="E560" s="47">
        <f t="shared" si="111"/>
        <v>0</v>
      </c>
      <c r="F560" s="47">
        <f t="shared" si="117"/>
        <v>0</v>
      </c>
      <c r="G560" s="48">
        <f t="shared" si="112"/>
        <v>0</v>
      </c>
      <c r="H560" s="49">
        <f t="shared" si="108"/>
        <v>0</v>
      </c>
      <c r="I560" s="47">
        <f t="shared" si="118"/>
        <v>0</v>
      </c>
      <c r="J560" s="47">
        <f t="shared" si="113"/>
        <v>0</v>
      </c>
      <c r="K560" s="50">
        <f t="shared" si="114"/>
        <v>0</v>
      </c>
      <c r="L560" s="63"/>
      <c r="M560" s="67"/>
      <c r="N560" s="51">
        <f t="shared" si="109"/>
        <v>7</v>
      </c>
      <c r="O560" s="19">
        <f t="shared" si="115"/>
        <v>10</v>
      </c>
      <c r="P560" s="20">
        <f t="shared" si="110"/>
        <v>0</v>
      </c>
      <c r="Q560" s="21"/>
      <c r="R560" s="21"/>
      <c r="S560" s="21"/>
      <c r="T560" s="21"/>
      <c r="U560" s="21"/>
      <c r="V560" s="21"/>
      <c r="W560" s="21"/>
      <c r="X560" s="21"/>
      <c r="Y560" s="21"/>
      <c r="Z560" s="21"/>
    </row>
    <row r="561" spans="1:26">
      <c r="A561" s="43">
        <v>554</v>
      </c>
      <c r="B561" s="69"/>
      <c r="C561" s="45">
        <f t="shared" si="116"/>
        <v>58054</v>
      </c>
      <c r="D561" s="46">
        <f t="shared" si="107"/>
        <v>0</v>
      </c>
      <c r="E561" s="47">
        <f t="shared" si="111"/>
        <v>0</v>
      </c>
      <c r="F561" s="47">
        <f t="shared" si="117"/>
        <v>0</v>
      </c>
      <c r="G561" s="48">
        <f t="shared" si="112"/>
        <v>0</v>
      </c>
      <c r="H561" s="49">
        <f t="shared" si="108"/>
        <v>0</v>
      </c>
      <c r="I561" s="47">
        <f t="shared" si="118"/>
        <v>0</v>
      </c>
      <c r="J561" s="47">
        <f t="shared" si="113"/>
        <v>0</v>
      </c>
      <c r="K561" s="50">
        <f t="shared" si="114"/>
        <v>0</v>
      </c>
      <c r="L561" s="63"/>
      <c r="M561" s="67"/>
      <c r="N561" s="51">
        <f t="shared" si="109"/>
        <v>7</v>
      </c>
      <c r="O561" s="19">
        <f t="shared" si="115"/>
        <v>10</v>
      </c>
      <c r="P561" s="20">
        <f t="shared" si="110"/>
        <v>0</v>
      </c>
      <c r="Q561" s="21"/>
      <c r="R561" s="21"/>
      <c r="S561" s="21"/>
      <c r="T561" s="21"/>
      <c r="U561" s="21"/>
      <c r="V561" s="21"/>
      <c r="W561" s="21"/>
      <c r="X561" s="21"/>
      <c r="Y561" s="21"/>
      <c r="Z561" s="21"/>
    </row>
    <row r="562" spans="1:26">
      <c r="A562" s="43">
        <v>555</v>
      </c>
      <c r="B562" s="69"/>
      <c r="C562" s="45">
        <f t="shared" si="116"/>
        <v>58085</v>
      </c>
      <c r="D562" s="46">
        <f t="shared" si="107"/>
        <v>0</v>
      </c>
      <c r="E562" s="47">
        <f t="shared" si="111"/>
        <v>0</v>
      </c>
      <c r="F562" s="47">
        <f t="shared" si="117"/>
        <v>0</v>
      </c>
      <c r="G562" s="48">
        <f t="shared" si="112"/>
        <v>0</v>
      </c>
      <c r="H562" s="49">
        <f t="shared" si="108"/>
        <v>0</v>
      </c>
      <c r="I562" s="47">
        <f t="shared" si="118"/>
        <v>0</v>
      </c>
      <c r="J562" s="47">
        <f t="shared" si="113"/>
        <v>0</v>
      </c>
      <c r="K562" s="50">
        <f t="shared" si="114"/>
        <v>0</v>
      </c>
      <c r="L562" s="63"/>
      <c r="M562" s="67"/>
      <c r="N562" s="51">
        <f t="shared" si="109"/>
        <v>7</v>
      </c>
      <c r="O562" s="19">
        <f t="shared" si="115"/>
        <v>10</v>
      </c>
      <c r="P562" s="20">
        <f t="shared" si="110"/>
        <v>0</v>
      </c>
      <c r="Q562" s="21"/>
      <c r="R562" s="21"/>
      <c r="S562" s="21"/>
      <c r="T562" s="21"/>
      <c r="U562" s="21"/>
      <c r="V562" s="21"/>
      <c r="W562" s="21"/>
      <c r="X562" s="21"/>
      <c r="Y562" s="21"/>
      <c r="Z562" s="21"/>
    </row>
    <row r="563" spans="1:26">
      <c r="A563" s="43">
        <v>556</v>
      </c>
      <c r="B563" s="69"/>
      <c r="C563" s="45">
        <f t="shared" si="116"/>
        <v>58116</v>
      </c>
      <c r="D563" s="46">
        <f t="shared" si="107"/>
        <v>0</v>
      </c>
      <c r="E563" s="47">
        <f t="shared" si="111"/>
        <v>0</v>
      </c>
      <c r="F563" s="47">
        <f t="shared" si="117"/>
        <v>0</v>
      </c>
      <c r="G563" s="48">
        <f t="shared" si="112"/>
        <v>0</v>
      </c>
      <c r="H563" s="49">
        <f t="shared" si="108"/>
        <v>0</v>
      </c>
      <c r="I563" s="47">
        <f t="shared" si="118"/>
        <v>0</v>
      </c>
      <c r="J563" s="47">
        <f t="shared" si="113"/>
        <v>0</v>
      </c>
      <c r="K563" s="50">
        <f t="shared" si="114"/>
        <v>0</v>
      </c>
      <c r="L563" s="63"/>
      <c r="M563" s="67"/>
      <c r="N563" s="51">
        <f t="shared" si="109"/>
        <v>7</v>
      </c>
      <c r="O563" s="19">
        <f t="shared" si="115"/>
        <v>10</v>
      </c>
      <c r="P563" s="20">
        <f t="shared" si="110"/>
        <v>0</v>
      </c>
      <c r="Q563" s="21"/>
      <c r="R563" s="21"/>
      <c r="S563" s="21"/>
      <c r="T563" s="21"/>
      <c r="U563" s="21"/>
      <c r="V563" s="21"/>
      <c r="W563" s="21"/>
      <c r="X563" s="21"/>
      <c r="Y563" s="21"/>
      <c r="Z563" s="21"/>
    </row>
    <row r="564" spans="1:26">
      <c r="A564" s="43">
        <v>557</v>
      </c>
      <c r="B564" s="69"/>
      <c r="C564" s="45">
        <f t="shared" si="116"/>
        <v>58144</v>
      </c>
      <c r="D564" s="46">
        <f t="shared" si="107"/>
        <v>0</v>
      </c>
      <c r="E564" s="47">
        <f t="shared" si="111"/>
        <v>0</v>
      </c>
      <c r="F564" s="47">
        <f t="shared" si="117"/>
        <v>0</v>
      </c>
      <c r="G564" s="48">
        <f t="shared" si="112"/>
        <v>0</v>
      </c>
      <c r="H564" s="49">
        <f t="shared" si="108"/>
        <v>0</v>
      </c>
      <c r="I564" s="47">
        <f t="shared" si="118"/>
        <v>0</v>
      </c>
      <c r="J564" s="47">
        <f t="shared" si="113"/>
        <v>0</v>
      </c>
      <c r="K564" s="50">
        <f t="shared" si="114"/>
        <v>0</v>
      </c>
      <c r="L564" s="63"/>
      <c r="M564" s="67"/>
      <c r="N564" s="51">
        <f t="shared" si="109"/>
        <v>7</v>
      </c>
      <c r="O564" s="19">
        <f t="shared" si="115"/>
        <v>10</v>
      </c>
      <c r="P564" s="20">
        <f t="shared" si="110"/>
        <v>0</v>
      </c>
      <c r="Q564" s="21"/>
      <c r="R564" s="21"/>
      <c r="S564" s="21"/>
      <c r="T564" s="21"/>
      <c r="U564" s="21"/>
      <c r="V564" s="21"/>
      <c r="W564" s="21"/>
      <c r="X564" s="21"/>
      <c r="Y564" s="21"/>
      <c r="Z564" s="21"/>
    </row>
    <row r="565" spans="1:26">
      <c r="A565" s="43">
        <v>558</v>
      </c>
      <c r="B565" s="69"/>
      <c r="C565" s="45">
        <f t="shared" si="116"/>
        <v>58175</v>
      </c>
      <c r="D565" s="46">
        <f t="shared" si="107"/>
        <v>0</v>
      </c>
      <c r="E565" s="47">
        <f t="shared" si="111"/>
        <v>0</v>
      </c>
      <c r="F565" s="47">
        <f t="shared" si="117"/>
        <v>0</v>
      </c>
      <c r="G565" s="48">
        <f t="shared" si="112"/>
        <v>0</v>
      </c>
      <c r="H565" s="49">
        <f t="shared" si="108"/>
        <v>0</v>
      </c>
      <c r="I565" s="47">
        <f t="shared" si="118"/>
        <v>0</v>
      </c>
      <c r="J565" s="47">
        <f t="shared" si="113"/>
        <v>0</v>
      </c>
      <c r="K565" s="50">
        <f t="shared" si="114"/>
        <v>0</v>
      </c>
      <c r="L565" s="63"/>
      <c r="M565" s="67"/>
      <c r="N565" s="51">
        <f t="shared" si="109"/>
        <v>7</v>
      </c>
      <c r="O565" s="19">
        <f t="shared" si="115"/>
        <v>10</v>
      </c>
      <c r="P565" s="20">
        <f t="shared" si="110"/>
        <v>0</v>
      </c>
      <c r="Q565" s="21"/>
      <c r="R565" s="21"/>
      <c r="S565" s="21"/>
      <c r="T565" s="21"/>
      <c r="U565" s="21"/>
      <c r="V565" s="21"/>
      <c r="W565" s="21"/>
      <c r="X565" s="21"/>
      <c r="Y565" s="21"/>
      <c r="Z565" s="21"/>
    </row>
    <row r="566" spans="1:26">
      <c r="A566" s="43">
        <v>559</v>
      </c>
      <c r="B566" s="69"/>
      <c r="C566" s="45">
        <f t="shared" si="116"/>
        <v>58205</v>
      </c>
      <c r="D566" s="46">
        <f t="shared" si="107"/>
        <v>0</v>
      </c>
      <c r="E566" s="47">
        <f t="shared" si="111"/>
        <v>0</v>
      </c>
      <c r="F566" s="47">
        <f t="shared" si="117"/>
        <v>0</v>
      </c>
      <c r="G566" s="48">
        <f t="shared" si="112"/>
        <v>0</v>
      </c>
      <c r="H566" s="49">
        <f t="shared" si="108"/>
        <v>0</v>
      </c>
      <c r="I566" s="47">
        <f t="shared" si="118"/>
        <v>0</v>
      </c>
      <c r="J566" s="47">
        <f t="shared" si="113"/>
        <v>0</v>
      </c>
      <c r="K566" s="50">
        <f t="shared" si="114"/>
        <v>0</v>
      </c>
      <c r="L566" s="63"/>
      <c r="M566" s="67"/>
      <c r="N566" s="51">
        <f t="shared" si="109"/>
        <v>7</v>
      </c>
      <c r="O566" s="19">
        <f t="shared" si="115"/>
        <v>10</v>
      </c>
      <c r="P566" s="20">
        <f t="shared" si="110"/>
        <v>0</v>
      </c>
      <c r="Q566" s="21"/>
      <c r="R566" s="21"/>
      <c r="S566" s="21"/>
      <c r="T566" s="21"/>
      <c r="U566" s="21"/>
      <c r="V566" s="21"/>
      <c r="W566" s="21"/>
      <c r="X566" s="21"/>
      <c r="Y566" s="21"/>
      <c r="Z566" s="21"/>
    </row>
    <row r="567" spans="1:26">
      <c r="A567" s="43">
        <v>560</v>
      </c>
      <c r="B567" s="69"/>
      <c r="C567" s="45">
        <f t="shared" si="116"/>
        <v>58236</v>
      </c>
      <c r="D567" s="46">
        <f t="shared" si="107"/>
        <v>0</v>
      </c>
      <c r="E567" s="47">
        <f t="shared" si="111"/>
        <v>0</v>
      </c>
      <c r="F567" s="47">
        <f t="shared" si="117"/>
        <v>0</v>
      </c>
      <c r="G567" s="48">
        <f t="shared" si="112"/>
        <v>0</v>
      </c>
      <c r="H567" s="49">
        <f t="shared" si="108"/>
        <v>0</v>
      </c>
      <c r="I567" s="47">
        <f t="shared" si="118"/>
        <v>0</v>
      </c>
      <c r="J567" s="47">
        <f t="shared" si="113"/>
        <v>0</v>
      </c>
      <c r="K567" s="50">
        <f t="shared" si="114"/>
        <v>0</v>
      </c>
      <c r="L567" s="63"/>
      <c r="M567" s="67"/>
      <c r="N567" s="51">
        <f t="shared" si="109"/>
        <v>7</v>
      </c>
      <c r="O567" s="19">
        <f t="shared" si="115"/>
        <v>10</v>
      </c>
      <c r="P567" s="20">
        <f t="shared" si="110"/>
        <v>0</v>
      </c>
      <c r="Q567" s="21"/>
      <c r="R567" s="21"/>
      <c r="S567" s="21"/>
      <c r="T567" s="21"/>
      <c r="U567" s="21"/>
      <c r="V567" s="21"/>
      <c r="W567" s="21"/>
      <c r="X567" s="21"/>
      <c r="Y567" s="21"/>
      <c r="Z567" s="21"/>
    </row>
    <row r="568" spans="1:26">
      <c r="A568" s="43">
        <v>561</v>
      </c>
      <c r="B568" s="69"/>
      <c r="C568" s="45">
        <f t="shared" si="116"/>
        <v>58266</v>
      </c>
      <c r="D568" s="46">
        <f t="shared" si="107"/>
        <v>0</v>
      </c>
      <c r="E568" s="47">
        <f t="shared" si="111"/>
        <v>0</v>
      </c>
      <c r="F568" s="47">
        <f t="shared" si="117"/>
        <v>0</v>
      </c>
      <c r="G568" s="48">
        <f t="shared" si="112"/>
        <v>0</v>
      </c>
      <c r="H568" s="49">
        <f t="shared" si="108"/>
        <v>0</v>
      </c>
      <c r="I568" s="47">
        <f t="shared" si="118"/>
        <v>0</v>
      </c>
      <c r="J568" s="47">
        <f t="shared" si="113"/>
        <v>0</v>
      </c>
      <c r="K568" s="50">
        <f t="shared" si="114"/>
        <v>0</v>
      </c>
      <c r="L568" s="63"/>
      <c r="M568" s="67"/>
      <c r="N568" s="51">
        <f t="shared" si="109"/>
        <v>7</v>
      </c>
      <c r="O568" s="19">
        <f t="shared" si="115"/>
        <v>10</v>
      </c>
      <c r="P568" s="20">
        <f t="shared" si="110"/>
        <v>0</v>
      </c>
      <c r="Q568" s="21"/>
      <c r="R568" s="21"/>
      <c r="S568" s="21"/>
      <c r="T568" s="21"/>
      <c r="U568" s="21"/>
      <c r="V568" s="21"/>
      <c r="W568" s="21"/>
      <c r="X568" s="21"/>
      <c r="Y568" s="21"/>
      <c r="Z568" s="21"/>
    </row>
    <row r="569" spans="1:26">
      <c r="A569" s="43">
        <v>562</v>
      </c>
      <c r="B569" s="69"/>
      <c r="C569" s="45">
        <f t="shared" si="116"/>
        <v>58297</v>
      </c>
      <c r="D569" s="46">
        <f t="shared" si="107"/>
        <v>0</v>
      </c>
      <c r="E569" s="47">
        <f t="shared" si="111"/>
        <v>0</v>
      </c>
      <c r="F569" s="47">
        <f t="shared" si="117"/>
        <v>0</v>
      </c>
      <c r="G569" s="48">
        <f t="shared" si="112"/>
        <v>0</v>
      </c>
      <c r="H569" s="49">
        <f t="shared" si="108"/>
        <v>0</v>
      </c>
      <c r="I569" s="47">
        <f t="shared" si="118"/>
        <v>0</v>
      </c>
      <c r="J569" s="47">
        <f t="shared" si="113"/>
        <v>0</v>
      </c>
      <c r="K569" s="50">
        <f t="shared" si="114"/>
        <v>0</v>
      </c>
      <c r="L569" s="63"/>
      <c r="M569" s="67"/>
      <c r="N569" s="51">
        <f t="shared" si="109"/>
        <v>7</v>
      </c>
      <c r="O569" s="19">
        <f t="shared" si="115"/>
        <v>10</v>
      </c>
      <c r="P569" s="20">
        <f t="shared" si="110"/>
        <v>0</v>
      </c>
      <c r="Q569" s="21"/>
      <c r="R569" s="21"/>
      <c r="S569" s="21"/>
      <c r="T569" s="21"/>
      <c r="U569" s="21"/>
      <c r="V569" s="21"/>
      <c r="W569" s="21"/>
      <c r="X569" s="21"/>
      <c r="Y569" s="21"/>
      <c r="Z569" s="21"/>
    </row>
    <row r="570" spans="1:26">
      <c r="A570" s="43">
        <v>563</v>
      </c>
      <c r="B570" s="69"/>
      <c r="C570" s="45">
        <f t="shared" si="116"/>
        <v>58328</v>
      </c>
      <c r="D570" s="46">
        <f t="shared" si="107"/>
        <v>0</v>
      </c>
      <c r="E570" s="47">
        <f t="shared" si="111"/>
        <v>0</v>
      </c>
      <c r="F570" s="47">
        <f t="shared" si="117"/>
        <v>0</v>
      </c>
      <c r="G570" s="48">
        <f t="shared" si="112"/>
        <v>0</v>
      </c>
      <c r="H570" s="49">
        <f t="shared" si="108"/>
        <v>0</v>
      </c>
      <c r="I570" s="47">
        <f t="shared" si="118"/>
        <v>0</v>
      </c>
      <c r="J570" s="47">
        <f t="shared" si="113"/>
        <v>0</v>
      </c>
      <c r="K570" s="50">
        <f t="shared" si="114"/>
        <v>0</v>
      </c>
      <c r="L570" s="63"/>
      <c r="M570" s="67"/>
      <c r="N570" s="51">
        <f t="shared" si="109"/>
        <v>7</v>
      </c>
      <c r="O570" s="19">
        <f t="shared" si="115"/>
        <v>10</v>
      </c>
      <c r="P570" s="20">
        <f t="shared" si="110"/>
        <v>0</v>
      </c>
      <c r="Q570" s="21"/>
      <c r="R570" s="21"/>
      <c r="S570" s="21"/>
      <c r="T570" s="21"/>
      <c r="U570" s="21"/>
      <c r="V570" s="21"/>
      <c r="W570" s="21"/>
      <c r="X570" s="21"/>
      <c r="Y570" s="21"/>
      <c r="Z570" s="21"/>
    </row>
    <row r="571" spans="1:26">
      <c r="A571" s="43">
        <v>564</v>
      </c>
      <c r="B571" s="69"/>
      <c r="C571" s="45">
        <f t="shared" si="116"/>
        <v>58358</v>
      </c>
      <c r="D571" s="46">
        <f t="shared" si="107"/>
        <v>0</v>
      </c>
      <c r="E571" s="47">
        <f t="shared" si="111"/>
        <v>0</v>
      </c>
      <c r="F571" s="47">
        <f t="shared" si="117"/>
        <v>0</v>
      </c>
      <c r="G571" s="48">
        <f t="shared" si="112"/>
        <v>0</v>
      </c>
      <c r="H571" s="49">
        <f t="shared" si="108"/>
        <v>0</v>
      </c>
      <c r="I571" s="47">
        <f t="shared" si="118"/>
        <v>0</v>
      </c>
      <c r="J571" s="47">
        <f t="shared" si="113"/>
        <v>0</v>
      </c>
      <c r="K571" s="50">
        <f t="shared" si="114"/>
        <v>0</v>
      </c>
      <c r="L571" s="63"/>
      <c r="M571" s="67"/>
      <c r="N571" s="51">
        <f t="shared" si="109"/>
        <v>7</v>
      </c>
      <c r="O571" s="19">
        <f t="shared" si="115"/>
        <v>10</v>
      </c>
      <c r="P571" s="20">
        <f t="shared" si="110"/>
        <v>0</v>
      </c>
      <c r="Q571" s="21"/>
      <c r="R571" s="21"/>
      <c r="S571" s="21"/>
      <c r="T571" s="21"/>
      <c r="U571" s="21"/>
      <c r="V571" s="21"/>
      <c r="W571" s="21"/>
      <c r="X571" s="21"/>
      <c r="Y571" s="21"/>
      <c r="Z571" s="21"/>
    </row>
    <row r="572" spans="1:26">
      <c r="A572" s="52">
        <v>565</v>
      </c>
      <c r="B572" s="70"/>
      <c r="C572" s="45">
        <f t="shared" si="116"/>
        <v>58389</v>
      </c>
      <c r="D572" s="46">
        <f t="shared" si="107"/>
        <v>0</v>
      </c>
      <c r="E572" s="53">
        <f t="shared" si="111"/>
        <v>0</v>
      </c>
      <c r="F572" s="47">
        <f t="shared" si="117"/>
        <v>0</v>
      </c>
      <c r="G572" s="54">
        <f t="shared" si="112"/>
        <v>0</v>
      </c>
      <c r="H572" s="55">
        <f t="shared" si="108"/>
        <v>0</v>
      </c>
      <c r="I572" s="53">
        <f t="shared" si="118"/>
        <v>0</v>
      </c>
      <c r="J572" s="53">
        <f t="shared" si="113"/>
        <v>0</v>
      </c>
      <c r="K572" s="56">
        <f t="shared" si="114"/>
        <v>0</v>
      </c>
      <c r="L572" s="65"/>
      <c r="M572" s="64"/>
      <c r="N572" s="51">
        <f t="shared" si="109"/>
        <v>7</v>
      </c>
      <c r="O572" s="19">
        <f t="shared" si="115"/>
        <v>10</v>
      </c>
      <c r="P572" s="20">
        <f t="shared" si="110"/>
        <v>0</v>
      </c>
      <c r="Q572" s="21"/>
      <c r="R572" s="21"/>
      <c r="S572" s="21"/>
      <c r="T572" s="21"/>
      <c r="U572" s="21"/>
      <c r="V572" s="21"/>
      <c r="W572" s="21"/>
      <c r="X572" s="21"/>
      <c r="Y572" s="21"/>
      <c r="Z572" s="21"/>
    </row>
    <row r="573" spans="1:26">
      <c r="A573" s="57">
        <v>566</v>
      </c>
      <c r="B573" s="70"/>
      <c r="C573" s="45">
        <f t="shared" si="116"/>
        <v>58419</v>
      </c>
      <c r="D573" s="46">
        <f t="shared" si="107"/>
        <v>0</v>
      </c>
      <c r="E573" s="47">
        <f t="shared" si="111"/>
        <v>0</v>
      </c>
      <c r="F573" s="47">
        <f t="shared" si="117"/>
        <v>0</v>
      </c>
      <c r="G573" s="48">
        <f t="shared" si="112"/>
        <v>0</v>
      </c>
      <c r="H573" s="49">
        <f t="shared" si="108"/>
        <v>0</v>
      </c>
      <c r="I573" s="47">
        <f t="shared" si="118"/>
        <v>0</v>
      </c>
      <c r="J573" s="47">
        <f t="shared" si="113"/>
        <v>0</v>
      </c>
      <c r="K573" s="50">
        <f t="shared" si="114"/>
        <v>0</v>
      </c>
      <c r="L573" s="63"/>
      <c r="M573" s="67"/>
      <c r="N573" s="51">
        <f t="shared" si="109"/>
        <v>7</v>
      </c>
      <c r="O573" s="19">
        <f t="shared" si="115"/>
        <v>10</v>
      </c>
      <c r="P573" s="20">
        <f t="shared" si="110"/>
        <v>0</v>
      </c>
      <c r="Q573" s="21"/>
      <c r="R573" s="21"/>
      <c r="S573" s="21"/>
      <c r="T573" s="21"/>
      <c r="U573" s="21"/>
      <c r="V573" s="21"/>
      <c r="W573" s="21"/>
      <c r="X573" s="21"/>
      <c r="Y573" s="21"/>
      <c r="Z573" s="21"/>
    </row>
    <row r="574" spans="1:26">
      <c r="A574" s="57">
        <v>567</v>
      </c>
      <c r="B574" s="70"/>
      <c r="C574" s="45">
        <f t="shared" si="116"/>
        <v>58450</v>
      </c>
      <c r="D574" s="46">
        <f t="shared" si="107"/>
        <v>0</v>
      </c>
      <c r="E574" s="47">
        <f t="shared" si="111"/>
        <v>0</v>
      </c>
      <c r="F574" s="47">
        <f t="shared" si="117"/>
        <v>0</v>
      </c>
      <c r="G574" s="48">
        <f t="shared" si="112"/>
        <v>0</v>
      </c>
      <c r="H574" s="49">
        <f t="shared" si="108"/>
        <v>0</v>
      </c>
      <c r="I574" s="47">
        <f t="shared" si="118"/>
        <v>0</v>
      </c>
      <c r="J574" s="47">
        <f t="shared" si="113"/>
        <v>0</v>
      </c>
      <c r="K574" s="50">
        <f t="shared" si="114"/>
        <v>0</v>
      </c>
      <c r="L574" s="63"/>
      <c r="M574" s="67"/>
      <c r="N574" s="51">
        <f t="shared" si="109"/>
        <v>7</v>
      </c>
      <c r="O574" s="19">
        <f t="shared" si="115"/>
        <v>10</v>
      </c>
      <c r="P574" s="20">
        <f t="shared" si="110"/>
        <v>0</v>
      </c>
      <c r="Q574" s="21"/>
      <c r="R574" s="21"/>
      <c r="S574" s="21"/>
      <c r="T574" s="21"/>
      <c r="U574" s="21"/>
      <c r="V574" s="21"/>
      <c r="W574" s="21"/>
      <c r="X574" s="21"/>
      <c r="Y574" s="21"/>
      <c r="Z574" s="21"/>
    </row>
    <row r="575" spans="1:26">
      <c r="A575" s="57">
        <v>568</v>
      </c>
      <c r="B575" s="70"/>
      <c r="C575" s="45">
        <f t="shared" si="116"/>
        <v>58481</v>
      </c>
      <c r="D575" s="46">
        <f t="shared" si="107"/>
        <v>0</v>
      </c>
      <c r="E575" s="47">
        <f t="shared" si="111"/>
        <v>0</v>
      </c>
      <c r="F575" s="47">
        <f t="shared" si="117"/>
        <v>0</v>
      </c>
      <c r="G575" s="48">
        <f t="shared" si="112"/>
        <v>0</v>
      </c>
      <c r="H575" s="49">
        <f t="shared" si="108"/>
        <v>0</v>
      </c>
      <c r="I575" s="47">
        <f t="shared" si="118"/>
        <v>0</v>
      </c>
      <c r="J575" s="47">
        <f t="shared" si="113"/>
        <v>0</v>
      </c>
      <c r="K575" s="50">
        <f t="shared" si="114"/>
        <v>0</v>
      </c>
      <c r="L575" s="63"/>
      <c r="M575" s="67"/>
      <c r="N575" s="51">
        <f t="shared" si="109"/>
        <v>7</v>
      </c>
      <c r="O575" s="19">
        <f t="shared" si="115"/>
        <v>10</v>
      </c>
      <c r="P575" s="20">
        <f t="shared" si="110"/>
        <v>0</v>
      </c>
      <c r="Q575" s="21"/>
      <c r="R575" s="21"/>
      <c r="S575" s="21"/>
      <c r="T575" s="21"/>
      <c r="U575" s="21"/>
      <c r="V575" s="21"/>
      <c r="W575" s="21"/>
      <c r="X575" s="21"/>
      <c r="Y575" s="21"/>
      <c r="Z575" s="21"/>
    </row>
    <row r="576" spans="1:26">
      <c r="A576" s="57">
        <v>569</v>
      </c>
      <c r="B576" s="70"/>
      <c r="C576" s="45">
        <f t="shared" si="116"/>
        <v>58510</v>
      </c>
      <c r="D576" s="46">
        <f t="shared" si="107"/>
        <v>0</v>
      </c>
      <c r="E576" s="47">
        <f t="shared" si="111"/>
        <v>0</v>
      </c>
      <c r="F576" s="47">
        <f t="shared" si="117"/>
        <v>0</v>
      </c>
      <c r="G576" s="48">
        <f t="shared" si="112"/>
        <v>0</v>
      </c>
      <c r="H576" s="49">
        <f t="shared" si="108"/>
        <v>0</v>
      </c>
      <c r="I576" s="47">
        <f t="shared" si="118"/>
        <v>0</v>
      </c>
      <c r="J576" s="47">
        <f t="shared" si="113"/>
        <v>0</v>
      </c>
      <c r="K576" s="50">
        <f t="shared" si="114"/>
        <v>0</v>
      </c>
      <c r="L576" s="63"/>
      <c r="M576" s="67"/>
      <c r="N576" s="51">
        <f t="shared" si="109"/>
        <v>7</v>
      </c>
      <c r="O576" s="19">
        <f t="shared" si="115"/>
        <v>10</v>
      </c>
      <c r="P576" s="20">
        <f t="shared" si="110"/>
        <v>0</v>
      </c>
      <c r="Q576" s="21"/>
      <c r="R576" s="21"/>
      <c r="S576" s="21"/>
      <c r="T576" s="21"/>
      <c r="U576" s="21"/>
      <c r="V576" s="21"/>
      <c r="W576" s="21"/>
      <c r="X576" s="21"/>
      <c r="Y576" s="21"/>
      <c r="Z576" s="21"/>
    </row>
    <row r="577" spans="1:26">
      <c r="A577" s="57">
        <v>570</v>
      </c>
      <c r="B577" s="70"/>
      <c r="C577" s="45">
        <f t="shared" si="116"/>
        <v>58541</v>
      </c>
      <c r="D577" s="46">
        <f t="shared" si="107"/>
        <v>0</v>
      </c>
      <c r="E577" s="47">
        <f t="shared" si="111"/>
        <v>0</v>
      </c>
      <c r="F577" s="47">
        <f t="shared" si="117"/>
        <v>0</v>
      </c>
      <c r="G577" s="48">
        <f t="shared" si="112"/>
        <v>0</v>
      </c>
      <c r="H577" s="49">
        <f t="shared" si="108"/>
        <v>0</v>
      </c>
      <c r="I577" s="47">
        <f t="shared" si="118"/>
        <v>0</v>
      </c>
      <c r="J577" s="47">
        <f t="shared" si="113"/>
        <v>0</v>
      </c>
      <c r="K577" s="50">
        <f t="shared" si="114"/>
        <v>0</v>
      </c>
      <c r="L577" s="63"/>
      <c r="M577" s="67"/>
      <c r="N577" s="51">
        <f t="shared" si="109"/>
        <v>7</v>
      </c>
      <c r="O577" s="19">
        <f t="shared" si="115"/>
        <v>10</v>
      </c>
      <c r="P577" s="20">
        <f t="shared" si="110"/>
        <v>0</v>
      </c>
      <c r="Q577" s="21"/>
      <c r="R577" s="21"/>
      <c r="S577" s="21"/>
      <c r="T577" s="21"/>
      <c r="U577" s="21"/>
      <c r="V577" s="21"/>
      <c r="W577" s="21"/>
      <c r="X577" s="21"/>
      <c r="Y577" s="21"/>
      <c r="Z577" s="21"/>
    </row>
    <row r="578" spans="1:26">
      <c r="A578" s="57">
        <v>571</v>
      </c>
      <c r="B578" s="70"/>
      <c r="C578" s="45">
        <f t="shared" si="116"/>
        <v>58571</v>
      </c>
      <c r="D578" s="46">
        <f t="shared" si="107"/>
        <v>0</v>
      </c>
      <c r="E578" s="47">
        <f t="shared" si="111"/>
        <v>0</v>
      </c>
      <c r="F578" s="47">
        <f t="shared" si="117"/>
        <v>0</v>
      </c>
      <c r="G578" s="48">
        <f t="shared" si="112"/>
        <v>0</v>
      </c>
      <c r="H578" s="49">
        <f t="shared" si="108"/>
        <v>0</v>
      </c>
      <c r="I578" s="47">
        <f t="shared" si="118"/>
        <v>0</v>
      </c>
      <c r="J578" s="47">
        <f t="shared" si="113"/>
        <v>0</v>
      </c>
      <c r="K578" s="50">
        <f t="shared" si="114"/>
        <v>0</v>
      </c>
      <c r="L578" s="63"/>
      <c r="M578" s="67"/>
      <c r="N578" s="51">
        <f t="shared" si="109"/>
        <v>7</v>
      </c>
      <c r="O578" s="19">
        <f t="shared" si="115"/>
        <v>10</v>
      </c>
      <c r="P578" s="20">
        <f t="shared" si="110"/>
        <v>0</v>
      </c>
      <c r="Q578" s="21"/>
      <c r="R578" s="21"/>
      <c r="S578" s="21"/>
      <c r="T578" s="21"/>
      <c r="U578" s="21"/>
      <c r="V578" s="21"/>
      <c r="W578" s="21"/>
      <c r="X578" s="21"/>
      <c r="Y578" s="21"/>
      <c r="Z578" s="21"/>
    </row>
    <row r="579" spans="1:26">
      <c r="A579" s="57">
        <v>572</v>
      </c>
      <c r="B579" s="70"/>
      <c r="C579" s="45">
        <f t="shared" si="116"/>
        <v>58602</v>
      </c>
      <c r="D579" s="46">
        <f t="shared" si="107"/>
        <v>0</v>
      </c>
      <c r="E579" s="47">
        <f t="shared" si="111"/>
        <v>0</v>
      </c>
      <c r="F579" s="47">
        <f t="shared" si="117"/>
        <v>0</v>
      </c>
      <c r="G579" s="48">
        <f t="shared" si="112"/>
        <v>0</v>
      </c>
      <c r="H579" s="49">
        <f t="shared" si="108"/>
        <v>0</v>
      </c>
      <c r="I579" s="47">
        <f t="shared" si="118"/>
        <v>0</v>
      </c>
      <c r="J579" s="47">
        <f t="shared" si="113"/>
        <v>0</v>
      </c>
      <c r="K579" s="50">
        <f t="shared" si="114"/>
        <v>0</v>
      </c>
      <c r="L579" s="63"/>
      <c r="M579" s="67"/>
      <c r="N579" s="51">
        <f t="shared" si="109"/>
        <v>7</v>
      </c>
      <c r="O579" s="19">
        <f t="shared" si="115"/>
        <v>10</v>
      </c>
      <c r="P579" s="20">
        <f t="shared" si="110"/>
        <v>0</v>
      </c>
      <c r="Q579" s="21"/>
      <c r="R579" s="21"/>
      <c r="S579" s="21"/>
      <c r="T579" s="21"/>
      <c r="U579" s="21"/>
      <c r="V579" s="21"/>
      <c r="W579" s="21"/>
      <c r="X579" s="21"/>
      <c r="Y579" s="21"/>
      <c r="Z579" s="21"/>
    </row>
    <row r="580" spans="1:26">
      <c r="A580" s="57">
        <v>573</v>
      </c>
      <c r="B580" s="70"/>
      <c r="C580" s="45">
        <f t="shared" si="116"/>
        <v>58632</v>
      </c>
      <c r="D580" s="46">
        <f t="shared" si="107"/>
        <v>0</v>
      </c>
      <c r="E580" s="47">
        <f t="shared" si="111"/>
        <v>0</v>
      </c>
      <c r="F580" s="47">
        <f t="shared" si="117"/>
        <v>0</v>
      </c>
      <c r="G580" s="48">
        <f t="shared" si="112"/>
        <v>0</v>
      </c>
      <c r="H580" s="49">
        <f t="shared" si="108"/>
        <v>0</v>
      </c>
      <c r="I580" s="47">
        <f t="shared" si="118"/>
        <v>0</v>
      </c>
      <c r="J580" s="47">
        <f t="shared" si="113"/>
        <v>0</v>
      </c>
      <c r="K580" s="50">
        <f t="shared" si="114"/>
        <v>0</v>
      </c>
      <c r="L580" s="63"/>
      <c r="M580" s="67"/>
      <c r="N580" s="51">
        <f t="shared" si="109"/>
        <v>7</v>
      </c>
      <c r="O580" s="19">
        <f t="shared" si="115"/>
        <v>10</v>
      </c>
      <c r="P580" s="20">
        <f t="shared" si="110"/>
        <v>0</v>
      </c>
      <c r="Q580" s="21"/>
      <c r="R580" s="21"/>
      <c r="S580" s="21"/>
      <c r="T580" s="21"/>
      <c r="U580" s="21"/>
      <c r="V580" s="21"/>
      <c r="W580" s="21"/>
      <c r="X580" s="21"/>
      <c r="Y580" s="21"/>
      <c r="Z580" s="21"/>
    </row>
    <row r="581" spans="1:26">
      <c r="A581" s="57">
        <v>574</v>
      </c>
      <c r="B581" s="70"/>
      <c r="C581" s="45">
        <f t="shared" si="116"/>
        <v>58663</v>
      </c>
      <c r="D581" s="46">
        <f t="shared" si="107"/>
        <v>0</v>
      </c>
      <c r="E581" s="47">
        <f t="shared" si="111"/>
        <v>0</v>
      </c>
      <c r="F581" s="47">
        <f t="shared" si="117"/>
        <v>0</v>
      </c>
      <c r="G581" s="48">
        <f t="shared" si="112"/>
        <v>0</v>
      </c>
      <c r="H581" s="49">
        <f t="shared" si="108"/>
        <v>0</v>
      </c>
      <c r="I581" s="47">
        <f t="shared" si="118"/>
        <v>0</v>
      </c>
      <c r="J581" s="47">
        <f t="shared" si="113"/>
        <v>0</v>
      </c>
      <c r="K581" s="50">
        <f t="shared" si="114"/>
        <v>0</v>
      </c>
      <c r="L581" s="63"/>
      <c r="M581" s="67"/>
      <c r="N581" s="51">
        <f t="shared" si="109"/>
        <v>7</v>
      </c>
      <c r="O581" s="19">
        <f t="shared" si="115"/>
        <v>10</v>
      </c>
      <c r="P581" s="20">
        <f t="shared" si="110"/>
        <v>0</v>
      </c>
      <c r="Q581" s="21"/>
      <c r="R581" s="21"/>
      <c r="S581" s="21"/>
      <c r="T581" s="21"/>
      <c r="U581" s="21"/>
      <c r="V581" s="21"/>
      <c r="W581" s="21"/>
      <c r="X581" s="21"/>
      <c r="Y581" s="21"/>
      <c r="Z581" s="21"/>
    </row>
    <row r="582" spans="1:26">
      <c r="A582" s="57">
        <v>575</v>
      </c>
      <c r="B582" s="70"/>
      <c r="C582" s="45">
        <f t="shared" si="116"/>
        <v>58694</v>
      </c>
      <c r="D582" s="46">
        <f t="shared" si="107"/>
        <v>0</v>
      </c>
      <c r="E582" s="47">
        <f t="shared" si="111"/>
        <v>0</v>
      </c>
      <c r="F582" s="47">
        <f t="shared" si="117"/>
        <v>0</v>
      </c>
      <c r="G582" s="48">
        <f t="shared" si="112"/>
        <v>0</v>
      </c>
      <c r="H582" s="49">
        <f t="shared" si="108"/>
        <v>0</v>
      </c>
      <c r="I582" s="47">
        <f t="shared" si="118"/>
        <v>0</v>
      </c>
      <c r="J582" s="47">
        <f t="shared" si="113"/>
        <v>0</v>
      </c>
      <c r="K582" s="50">
        <f t="shared" si="114"/>
        <v>0</v>
      </c>
      <c r="L582" s="63"/>
      <c r="M582" s="67"/>
      <c r="N582" s="51">
        <f t="shared" si="109"/>
        <v>7</v>
      </c>
      <c r="O582" s="19">
        <f t="shared" si="115"/>
        <v>10</v>
      </c>
      <c r="P582" s="20">
        <f t="shared" si="110"/>
        <v>0</v>
      </c>
      <c r="Q582" s="21"/>
      <c r="R582" s="21"/>
      <c r="S582" s="21"/>
      <c r="T582" s="21"/>
      <c r="U582" s="21"/>
      <c r="V582" s="21"/>
      <c r="W582" s="21"/>
      <c r="X582" s="21"/>
      <c r="Y582" s="21"/>
      <c r="Z582" s="21"/>
    </row>
    <row r="583" spans="1:26">
      <c r="A583" s="58">
        <v>576</v>
      </c>
      <c r="B583" s="70"/>
      <c r="C583" s="45">
        <f t="shared" si="116"/>
        <v>58724</v>
      </c>
      <c r="D583" s="46">
        <f t="shared" si="107"/>
        <v>0</v>
      </c>
      <c r="E583" s="59">
        <f t="shared" si="111"/>
        <v>0</v>
      </c>
      <c r="F583" s="47">
        <f t="shared" si="117"/>
        <v>0</v>
      </c>
      <c r="G583" s="60">
        <f t="shared" si="112"/>
        <v>0</v>
      </c>
      <c r="H583" s="61">
        <f t="shared" si="108"/>
        <v>0</v>
      </c>
      <c r="I583" s="59">
        <f t="shared" si="118"/>
        <v>0</v>
      </c>
      <c r="J583" s="59">
        <f t="shared" si="113"/>
        <v>0</v>
      </c>
      <c r="K583" s="62">
        <f t="shared" si="114"/>
        <v>0</v>
      </c>
      <c r="L583" s="66"/>
      <c r="M583" s="68"/>
      <c r="N583" s="51">
        <f t="shared" si="109"/>
        <v>7</v>
      </c>
      <c r="O583" s="19">
        <f t="shared" si="115"/>
        <v>10</v>
      </c>
      <c r="P583" s="20">
        <f t="shared" si="110"/>
        <v>0</v>
      </c>
      <c r="Q583" s="21"/>
      <c r="R583" s="21"/>
      <c r="S583" s="21"/>
      <c r="T583" s="21"/>
      <c r="U583" s="21"/>
      <c r="V583" s="21"/>
      <c r="W583" s="21"/>
      <c r="X583" s="21"/>
      <c r="Y583" s="21"/>
      <c r="Z583" s="21"/>
    </row>
    <row r="584" spans="1:26">
      <c r="A584" s="43">
        <v>577</v>
      </c>
      <c r="B584" s="69"/>
      <c r="C584" s="45">
        <f t="shared" si="116"/>
        <v>58755</v>
      </c>
      <c r="D584" s="46">
        <f t="shared" ref="D584:D607" si="119">IF(P584*$D$2/100/12/(1-(1+$D$2/100/12)^(-O584))&lt;G583,ROUNDUP(P584*$D$2/100/12/(1-(1+$D$2/100/12)^(-O584)),0),G583+F584)</f>
        <v>0</v>
      </c>
      <c r="E584" s="47">
        <f t="shared" si="111"/>
        <v>0</v>
      </c>
      <c r="F584" s="47">
        <f t="shared" si="117"/>
        <v>0</v>
      </c>
      <c r="G584" s="48">
        <f t="shared" si="112"/>
        <v>0</v>
      </c>
      <c r="H584" s="49">
        <f t="shared" ref="H584:H607" si="120">I584+J584</f>
        <v>0</v>
      </c>
      <c r="I584" s="47">
        <f t="shared" si="118"/>
        <v>0</v>
      </c>
      <c r="J584" s="47">
        <f t="shared" si="113"/>
        <v>0</v>
      </c>
      <c r="K584" s="50">
        <f t="shared" si="114"/>
        <v>0</v>
      </c>
      <c r="L584" s="63"/>
      <c r="M584" s="67"/>
      <c r="N584" s="51">
        <f t="shared" ref="N584:N607" si="121">IF(ISBLANK(L583),VALUE(N583),ROW(L583))</f>
        <v>7</v>
      </c>
      <c r="O584" s="19">
        <f t="shared" si="115"/>
        <v>10</v>
      </c>
      <c r="P584" s="20">
        <f t="shared" ref="P584:P607" si="122">INDEX(G:G,N584,1)</f>
        <v>0</v>
      </c>
      <c r="Q584" s="21"/>
      <c r="R584" s="21"/>
      <c r="S584" s="21"/>
      <c r="T584" s="21"/>
      <c r="U584" s="21"/>
      <c r="V584" s="21"/>
      <c r="W584" s="21"/>
      <c r="X584" s="21"/>
      <c r="Y584" s="21"/>
      <c r="Z584" s="21"/>
    </row>
    <row r="585" spans="1:26">
      <c r="A585" s="43">
        <v>578</v>
      </c>
      <c r="B585" s="69"/>
      <c r="C585" s="45">
        <f t="shared" si="116"/>
        <v>58785</v>
      </c>
      <c r="D585" s="46">
        <f t="shared" si="119"/>
        <v>0</v>
      </c>
      <c r="E585" s="47">
        <f t="shared" ref="E585:E607" si="123">D585-F585</f>
        <v>0</v>
      </c>
      <c r="F585" s="47">
        <f t="shared" si="117"/>
        <v>0</v>
      </c>
      <c r="G585" s="48">
        <f t="shared" ref="G585:G607" si="124">G584-E585-L585-M585</f>
        <v>0</v>
      </c>
      <c r="H585" s="49">
        <f t="shared" si="120"/>
        <v>0</v>
      </c>
      <c r="I585" s="47">
        <f t="shared" si="118"/>
        <v>0</v>
      </c>
      <c r="J585" s="47">
        <f t="shared" ref="J585:J607" si="125">K584*$D$2/12/100</f>
        <v>0</v>
      </c>
      <c r="K585" s="50">
        <f t="shared" ref="K585:K607" si="126">K584-I585-L585-M585</f>
        <v>0</v>
      </c>
      <c r="L585" s="63"/>
      <c r="M585" s="67"/>
      <c r="N585" s="51">
        <f t="shared" si="121"/>
        <v>7</v>
      </c>
      <c r="O585" s="19">
        <f t="shared" ref="O585:O607" si="127">O584+N584-N585</f>
        <v>10</v>
      </c>
      <c r="P585" s="20">
        <f t="shared" si="122"/>
        <v>0</v>
      </c>
      <c r="Q585" s="21"/>
      <c r="R585" s="21"/>
      <c r="S585" s="21"/>
      <c r="T585" s="21"/>
      <c r="U585" s="21"/>
      <c r="V585" s="21"/>
      <c r="W585" s="21"/>
      <c r="X585" s="21"/>
      <c r="Y585" s="21"/>
      <c r="Z585" s="21"/>
    </row>
    <row r="586" spans="1:26">
      <c r="A586" s="43">
        <v>579</v>
      </c>
      <c r="B586" s="69"/>
      <c r="C586" s="45">
        <f t="shared" ref="C586:C607" si="128">DATE(YEAR(C585),MONTH(C585)+1,DAY(C585))</f>
        <v>58816</v>
      </c>
      <c r="D586" s="46">
        <f t="shared" si="119"/>
        <v>0</v>
      </c>
      <c r="E586" s="47">
        <f t="shared" si="123"/>
        <v>0</v>
      </c>
      <c r="F586" s="47">
        <f t="shared" ref="F586:F649" si="129">G585*$D$2*(C586-C585)/(DATE(YEAR(C586)+1,1,1)-DATE(YEAR(C586),1,1))/100</f>
        <v>0</v>
      </c>
      <c r="G586" s="48">
        <f t="shared" si="124"/>
        <v>0</v>
      </c>
      <c r="H586" s="49">
        <f t="shared" si="120"/>
        <v>0</v>
      </c>
      <c r="I586" s="47">
        <f t="shared" ref="I586:I607" si="130">IF($D$1/$D$3&lt;K585,$D$1/$D$3,K585)</f>
        <v>0</v>
      </c>
      <c r="J586" s="47">
        <f t="shared" si="125"/>
        <v>0</v>
      </c>
      <c r="K586" s="50">
        <f t="shared" si="126"/>
        <v>0</v>
      </c>
      <c r="L586" s="63"/>
      <c r="M586" s="67"/>
      <c r="N586" s="51">
        <f t="shared" si="121"/>
        <v>7</v>
      </c>
      <c r="O586" s="19">
        <f t="shared" si="127"/>
        <v>10</v>
      </c>
      <c r="P586" s="20">
        <f t="shared" si="122"/>
        <v>0</v>
      </c>
      <c r="Q586" s="21"/>
      <c r="R586" s="21"/>
      <c r="S586" s="21"/>
      <c r="T586" s="21"/>
      <c r="U586" s="21"/>
      <c r="V586" s="21"/>
      <c r="W586" s="21"/>
      <c r="X586" s="21"/>
      <c r="Y586" s="21"/>
      <c r="Z586" s="21"/>
    </row>
    <row r="587" spans="1:26">
      <c r="A587" s="43">
        <v>580</v>
      </c>
      <c r="B587" s="69"/>
      <c r="C587" s="45">
        <f t="shared" si="128"/>
        <v>58847</v>
      </c>
      <c r="D587" s="46">
        <f t="shared" si="119"/>
        <v>0</v>
      </c>
      <c r="E587" s="47">
        <f t="shared" si="123"/>
        <v>0</v>
      </c>
      <c r="F587" s="47">
        <f t="shared" si="129"/>
        <v>0</v>
      </c>
      <c r="G587" s="48">
        <f t="shared" si="124"/>
        <v>0</v>
      </c>
      <c r="H587" s="49">
        <f t="shared" si="120"/>
        <v>0</v>
      </c>
      <c r="I587" s="47">
        <f t="shared" si="130"/>
        <v>0</v>
      </c>
      <c r="J587" s="47">
        <f t="shared" si="125"/>
        <v>0</v>
      </c>
      <c r="K587" s="50">
        <f t="shared" si="126"/>
        <v>0</v>
      </c>
      <c r="L587" s="63"/>
      <c r="M587" s="67"/>
      <c r="N587" s="51">
        <f t="shared" si="121"/>
        <v>7</v>
      </c>
      <c r="O587" s="19">
        <f t="shared" si="127"/>
        <v>10</v>
      </c>
      <c r="P587" s="20">
        <f t="shared" si="122"/>
        <v>0</v>
      </c>
      <c r="Q587" s="21"/>
      <c r="R587" s="21"/>
      <c r="S587" s="21"/>
      <c r="T587" s="21"/>
      <c r="U587" s="21"/>
      <c r="V587" s="21"/>
      <c r="W587" s="21"/>
      <c r="X587" s="21"/>
      <c r="Y587" s="21"/>
      <c r="Z587" s="21"/>
    </row>
    <row r="588" spans="1:26">
      <c r="A588" s="43">
        <v>581</v>
      </c>
      <c r="B588" s="69"/>
      <c r="C588" s="45">
        <f t="shared" si="128"/>
        <v>58875</v>
      </c>
      <c r="D588" s="46">
        <f t="shared" si="119"/>
        <v>0</v>
      </c>
      <c r="E588" s="47">
        <f t="shared" si="123"/>
        <v>0</v>
      </c>
      <c r="F588" s="47">
        <f t="shared" si="129"/>
        <v>0</v>
      </c>
      <c r="G588" s="48">
        <f t="shared" si="124"/>
        <v>0</v>
      </c>
      <c r="H588" s="49">
        <f t="shared" si="120"/>
        <v>0</v>
      </c>
      <c r="I588" s="47">
        <f t="shared" si="130"/>
        <v>0</v>
      </c>
      <c r="J588" s="47">
        <f t="shared" si="125"/>
        <v>0</v>
      </c>
      <c r="K588" s="50">
        <f t="shared" si="126"/>
        <v>0</v>
      </c>
      <c r="L588" s="63"/>
      <c r="M588" s="67"/>
      <c r="N588" s="51">
        <f t="shared" si="121"/>
        <v>7</v>
      </c>
      <c r="O588" s="19">
        <f t="shared" si="127"/>
        <v>10</v>
      </c>
      <c r="P588" s="20">
        <f t="shared" si="122"/>
        <v>0</v>
      </c>
      <c r="Q588" s="21"/>
      <c r="R588" s="21"/>
      <c r="S588" s="21"/>
      <c r="T588" s="21"/>
      <c r="U588" s="21"/>
      <c r="V588" s="21"/>
      <c r="W588" s="21"/>
      <c r="X588" s="21"/>
      <c r="Y588" s="21"/>
      <c r="Z588" s="21"/>
    </row>
    <row r="589" spans="1:26">
      <c r="A589" s="43">
        <v>582</v>
      </c>
      <c r="B589" s="69"/>
      <c r="C589" s="45">
        <f t="shared" si="128"/>
        <v>58906</v>
      </c>
      <c r="D589" s="46">
        <f t="shared" si="119"/>
        <v>0</v>
      </c>
      <c r="E589" s="47">
        <f t="shared" si="123"/>
        <v>0</v>
      </c>
      <c r="F589" s="47">
        <f t="shared" si="129"/>
        <v>0</v>
      </c>
      <c r="G589" s="48">
        <f t="shared" si="124"/>
        <v>0</v>
      </c>
      <c r="H589" s="49">
        <f t="shared" si="120"/>
        <v>0</v>
      </c>
      <c r="I589" s="47">
        <f t="shared" si="130"/>
        <v>0</v>
      </c>
      <c r="J589" s="47">
        <f t="shared" si="125"/>
        <v>0</v>
      </c>
      <c r="K589" s="50">
        <f t="shared" si="126"/>
        <v>0</v>
      </c>
      <c r="L589" s="63"/>
      <c r="M589" s="67"/>
      <c r="N589" s="51">
        <f t="shared" si="121"/>
        <v>7</v>
      </c>
      <c r="O589" s="19">
        <f t="shared" si="127"/>
        <v>10</v>
      </c>
      <c r="P589" s="20">
        <f t="shared" si="122"/>
        <v>0</v>
      </c>
      <c r="Q589" s="21"/>
      <c r="R589" s="21"/>
      <c r="S589" s="21"/>
      <c r="T589" s="21"/>
      <c r="U589" s="21"/>
      <c r="V589" s="21"/>
      <c r="W589" s="21"/>
      <c r="X589" s="21"/>
      <c r="Y589" s="21"/>
      <c r="Z589" s="21"/>
    </row>
    <row r="590" spans="1:26">
      <c r="A590" s="43">
        <v>583</v>
      </c>
      <c r="B590" s="69"/>
      <c r="C590" s="45">
        <f t="shared" si="128"/>
        <v>58936</v>
      </c>
      <c r="D590" s="46">
        <f t="shared" si="119"/>
        <v>0</v>
      </c>
      <c r="E590" s="47">
        <f t="shared" si="123"/>
        <v>0</v>
      </c>
      <c r="F590" s="47">
        <f t="shared" si="129"/>
        <v>0</v>
      </c>
      <c r="G590" s="48">
        <f t="shared" si="124"/>
        <v>0</v>
      </c>
      <c r="H590" s="49">
        <f t="shared" si="120"/>
        <v>0</v>
      </c>
      <c r="I590" s="47">
        <f t="shared" si="130"/>
        <v>0</v>
      </c>
      <c r="J590" s="47">
        <f t="shared" si="125"/>
        <v>0</v>
      </c>
      <c r="K590" s="50">
        <f t="shared" si="126"/>
        <v>0</v>
      </c>
      <c r="L590" s="63"/>
      <c r="M590" s="67"/>
      <c r="N590" s="51">
        <f t="shared" si="121"/>
        <v>7</v>
      </c>
      <c r="O590" s="19">
        <f t="shared" si="127"/>
        <v>10</v>
      </c>
      <c r="P590" s="20">
        <f t="shared" si="122"/>
        <v>0</v>
      </c>
      <c r="Q590" s="21"/>
      <c r="R590" s="21"/>
      <c r="S590" s="21"/>
      <c r="T590" s="21"/>
      <c r="U590" s="21"/>
      <c r="V590" s="21"/>
      <c r="W590" s="21"/>
      <c r="X590" s="21"/>
      <c r="Y590" s="21"/>
      <c r="Z590" s="21"/>
    </row>
    <row r="591" spans="1:26">
      <c r="A591" s="43">
        <v>584</v>
      </c>
      <c r="B591" s="69"/>
      <c r="C591" s="45">
        <f t="shared" si="128"/>
        <v>58967</v>
      </c>
      <c r="D591" s="46">
        <f t="shared" si="119"/>
        <v>0</v>
      </c>
      <c r="E591" s="47">
        <f t="shared" si="123"/>
        <v>0</v>
      </c>
      <c r="F591" s="47">
        <f t="shared" si="129"/>
        <v>0</v>
      </c>
      <c r="G591" s="48">
        <f t="shared" si="124"/>
        <v>0</v>
      </c>
      <c r="H591" s="49">
        <f t="shared" si="120"/>
        <v>0</v>
      </c>
      <c r="I591" s="47">
        <f t="shared" si="130"/>
        <v>0</v>
      </c>
      <c r="J591" s="47">
        <f t="shared" si="125"/>
        <v>0</v>
      </c>
      <c r="K591" s="50">
        <f t="shared" si="126"/>
        <v>0</v>
      </c>
      <c r="L591" s="63"/>
      <c r="M591" s="67"/>
      <c r="N591" s="51">
        <f t="shared" si="121"/>
        <v>7</v>
      </c>
      <c r="O591" s="19">
        <f t="shared" si="127"/>
        <v>10</v>
      </c>
      <c r="P591" s="20">
        <f t="shared" si="122"/>
        <v>0</v>
      </c>
      <c r="Q591" s="21"/>
      <c r="R591" s="21"/>
      <c r="S591" s="21"/>
      <c r="T591" s="21"/>
      <c r="U591" s="21"/>
      <c r="V591" s="21"/>
      <c r="W591" s="21"/>
      <c r="X591" s="21"/>
      <c r="Y591" s="21"/>
      <c r="Z591" s="21"/>
    </row>
    <row r="592" spans="1:26">
      <c r="A592" s="43">
        <v>585</v>
      </c>
      <c r="B592" s="69"/>
      <c r="C592" s="45">
        <f t="shared" si="128"/>
        <v>58997</v>
      </c>
      <c r="D592" s="46">
        <f t="shared" si="119"/>
        <v>0</v>
      </c>
      <c r="E592" s="47">
        <f t="shared" si="123"/>
        <v>0</v>
      </c>
      <c r="F592" s="47">
        <f t="shared" si="129"/>
        <v>0</v>
      </c>
      <c r="G592" s="48">
        <f t="shared" si="124"/>
        <v>0</v>
      </c>
      <c r="H592" s="49">
        <f t="shared" si="120"/>
        <v>0</v>
      </c>
      <c r="I592" s="47">
        <f t="shared" si="130"/>
        <v>0</v>
      </c>
      <c r="J592" s="47">
        <f t="shared" si="125"/>
        <v>0</v>
      </c>
      <c r="K592" s="50">
        <f t="shared" si="126"/>
        <v>0</v>
      </c>
      <c r="L592" s="63"/>
      <c r="M592" s="67"/>
      <c r="N592" s="51">
        <f t="shared" si="121"/>
        <v>7</v>
      </c>
      <c r="O592" s="19">
        <f t="shared" si="127"/>
        <v>10</v>
      </c>
      <c r="P592" s="20">
        <f t="shared" si="122"/>
        <v>0</v>
      </c>
      <c r="Q592" s="21"/>
      <c r="R592" s="21"/>
      <c r="S592" s="21"/>
      <c r="T592" s="21"/>
      <c r="U592" s="21"/>
      <c r="V592" s="21"/>
      <c r="W592" s="21"/>
      <c r="X592" s="21"/>
      <c r="Y592" s="21"/>
      <c r="Z592" s="21"/>
    </row>
    <row r="593" spans="1:26">
      <c r="A593" s="43">
        <v>586</v>
      </c>
      <c r="B593" s="69"/>
      <c r="C593" s="45">
        <f t="shared" si="128"/>
        <v>59028</v>
      </c>
      <c r="D593" s="46">
        <f t="shared" si="119"/>
        <v>0</v>
      </c>
      <c r="E593" s="47">
        <f t="shared" si="123"/>
        <v>0</v>
      </c>
      <c r="F593" s="47">
        <f t="shared" si="129"/>
        <v>0</v>
      </c>
      <c r="G593" s="48">
        <f t="shared" si="124"/>
        <v>0</v>
      </c>
      <c r="H593" s="49">
        <f t="shared" si="120"/>
        <v>0</v>
      </c>
      <c r="I593" s="47">
        <f t="shared" si="130"/>
        <v>0</v>
      </c>
      <c r="J593" s="47">
        <f t="shared" si="125"/>
        <v>0</v>
      </c>
      <c r="K593" s="50">
        <f t="shared" si="126"/>
        <v>0</v>
      </c>
      <c r="L593" s="63"/>
      <c r="M593" s="67"/>
      <c r="N593" s="51">
        <f t="shared" si="121"/>
        <v>7</v>
      </c>
      <c r="O593" s="19">
        <f t="shared" si="127"/>
        <v>10</v>
      </c>
      <c r="P593" s="20">
        <f t="shared" si="122"/>
        <v>0</v>
      </c>
      <c r="Q593" s="21"/>
      <c r="R593" s="21"/>
      <c r="S593" s="21"/>
      <c r="T593" s="21"/>
      <c r="U593" s="21"/>
      <c r="V593" s="21"/>
      <c r="W593" s="21"/>
      <c r="X593" s="21"/>
      <c r="Y593" s="21"/>
      <c r="Z593" s="21"/>
    </row>
    <row r="594" spans="1:26">
      <c r="A594" s="43">
        <v>587</v>
      </c>
      <c r="B594" s="69"/>
      <c r="C594" s="45">
        <f t="shared" si="128"/>
        <v>59059</v>
      </c>
      <c r="D594" s="46">
        <f t="shared" si="119"/>
        <v>0</v>
      </c>
      <c r="E594" s="47">
        <f t="shared" si="123"/>
        <v>0</v>
      </c>
      <c r="F594" s="47">
        <f t="shared" si="129"/>
        <v>0</v>
      </c>
      <c r="G594" s="48">
        <f t="shared" si="124"/>
        <v>0</v>
      </c>
      <c r="H594" s="49">
        <f t="shared" si="120"/>
        <v>0</v>
      </c>
      <c r="I594" s="47">
        <f t="shared" si="130"/>
        <v>0</v>
      </c>
      <c r="J594" s="47">
        <f t="shared" si="125"/>
        <v>0</v>
      </c>
      <c r="K594" s="50">
        <f t="shared" si="126"/>
        <v>0</v>
      </c>
      <c r="L594" s="63"/>
      <c r="M594" s="67"/>
      <c r="N594" s="51">
        <f t="shared" si="121"/>
        <v>7</v>
      </c>
      <c r="O594" s="19">
        <f t="shared" si="127"/>
        <v>10</v>
      </c>
      <c r="P594" s="20">
        <f t="shared" si="122"/>
        <v>0</v>
      </c>
      <c r="Q594" s="21"/>
      <c r="R594" s="21"/>
      <c r="S594" s="21"/>
      <c r="T594" s="21"/>
      <c r="U594" s="21"/>
      <c r="V594" s="21"/>
      <c r="W594" s="21"/>
      <c r="X594" s="21"/>
      <c r="Y594" s="21"/>
      <c r="Z594" s="21"/>
    </row>
    <row r="595" spans="1:26">
      <c r="A595" s="43">
        <v>588</v>
      </c>
      <c r="B595" s="69"/>
      <c r="C595" s="45">
        <f t="shared" si="128"/>
        <v>59089</v>
      </c>
      <c r="D595" s="46">
        <f t="shared" si="119"/>
        <v>0</v>
      </c>
      <c r="E595" s="47">
        <f t="shared" si="123"/>
        <v>0</v>
      </c>
      <c r="F595" s="47">
        <f t="shared" si="129"/>
        <v>0</v>
      </c>
      <c r="G595" s="48">
        <f t="shared" si="124"/>
        <v>0</v>
      </c>
      <c r="H595" s="49">
        <f t="shared" si="120"/>
        <v>0</v>
      </c>
      <c r="I595" s="47">
        <f t="shared" si="130"/>
        <v>0</v>
      </c>
      <c r="J595" s="47">
        <f t="shared" si="125"/>
        <v>0</v>
      </c>
      <c r="K595" s="50">
        <f t="shared" si="126"/>
        <v>0</v>
      </c>
      <c r="L595" s="63"/>
      <c r="M595" s="67"/>
      <c r="N595" s="51">
        <f t="shared" si="121"/>
        <v>7</v>
      </c>
      <c r="O595" s="19">
        <f t="shared" si="127"/>
        <v>10</v>
      </c>
      <c r="P595" s="20">
        <f t="shared" si="122"/>
        <v>0</v>
      </c>
      <c r="Q595" s="21"/>
      <c r="R595" s="21"/>
      <c r="S595" s="21"/>
      <c r="T595" s="21"/>
      <c r="U595" s="21"/>
      <c r="V595" s="21"/>
      <c r="W595" s="21"/>
      <c r="X595" s="21"/>
      <c r="Y595" s="21"/>
      <c r="Z595" s="21"/>
    </row>
    <row r="596" spans="1:26">
      <c r="A596" s="52">
        <v>589</v>
      </c>
      <c r="B596" s="70"/>
      <c r="C596" s="45">
        <f t="shared" si="128"/>
        <v>59120</v>
      </c>
      <c r="D596" s="46">
        <f t="shared" si="119"/>
        <v>0</v>
      </c>
      <c r="E596" s="53">
        <f t="shared" si="123"/>
        <v>0</v>
      </c>
      <c r="F596" s="47">
        <f t="shared" si="129"/>
        <v>0</v>
      </c>
      <c r="G596" s="54">
        <f t="shared" si="124"/>
        <v>0</v>
      </c>
      <c r="H596" s="55">
        <f t="shared" si="120"/>
        <v>0</v>
      </c>
      <c r="I596" s="53">
        <f t="shared" si="130"/>
        <v>0</v>
      </c>
      <c r="J596" s="53">
        <f t="shared" si="125"/>
        <v>0</v>
      </c>
      <c r="K596" s="56">
        <f t="shared" si="126"/>
        <v>0</v>
      </c>
      <c r="L596" s="65"/>
      <c r="M596" s="64"/>
      <c r="N596" s="51">
        <f t="shared" si="121"/>
        <v>7</v>
      </c>
      <c r="O596" s="19">
        <f t="shared" si="127"/>
        <v>10</v>
      </c>
      <c r="P596" s="20">
        <f t="shared" si="122"/>
        <v>0</v>
      </c>
      <c r="Q596" s="21"/>
      <c r="R596" s="21"/>
      <c r="S596" s="21"/>
      <c r="T596" s="21"/>
      <c r="U596" s="21"/>
      <c r="V596" s="21"/>
      <c r="W596" s="21"/>
      <c r="X596" s="21"/>
      <c r="Y596" s="21"/>
      <c r="Z596" s="21"/>
    </row>
    <row r="597" spans="1:26">
      <c r="A597" s="57">
        <v>590</v>
      </c>
      <c r="B597" s="70"/>
      <c r="C597" s="45">
        <f t="shared" si="128"/>
        <v>59150</v>
      </c>
      <c r="D597" s="46">
        <f t="shared" si="119"/>
        <v>0</v>
      </c>
      <c r="E597" s="47">
        <f t="shared" si="123"/>
        <v>0</v>
      </c>
      <c r="F597" s="47">
        <f t="shared" si="129"/>
        <v>0</v>
      </c>
      <c r="G597" s="48">
        <f t="shared" si="124"/>
        <v>0</v>
      </c>
      <c r="H597" s="49">
        <f t="shared" si="120"/>
        <v>0</v>
      </c>
      <c r="I597" s="47">
        <f t="shared" si="130"/>
        <v>0</v>
      </c>
      <c r="J597" s="47">
        <f t="shared" si="125"/>
        <v>0</v>
      </c>
      <c r="K597" s="50">
        <f t="shared" si="126"/>
        <v>0</v>
      </c>
      <c r="L597" s="63"/>
      <c r="M597" s="67"/>
      <c r="N597" s="51">
        <f t="shared" si="121"/>
        <v>7</v>
      </c>
      <c r="O597" s="19">
        <f t="shared" si="127"/>
        <v>10</v>
      </c>
      <c r="P597" s="20">
        <f t="shared" si="122"/>
        <v>0</v>
      </c>
      <c r="Q597" s="21"/>
      <c r="R597" s="21"/>
      <c r="S597" s="21"/>
      <c r="T597" s="21"/>
      <c r="U597" s="21"/>
      <c r="V597" s="21"/>
      <c r="W597" s="21"/>
      <c r="X597" s="21"/>
      <c r="Y597" s="21"/>
      <c r="Z597" s="21"/>
    </row>
    <row r="598" spans="1:26">
      <c r="A598" s="57">
        <v>591</v>
      </c>
      <c r="B598" s="70"/>
      <c r="C598" s="45">
        <f t="shared" si="128"/>
        <v>59181</v>
      </c>
      <c r="D598" s="46">
        <f t="shared" si="119"/>
        <v>0</v>
      </c>
      <c r="E598" s="47">
        <f t="shared" si="123"/>
        <v>0</v>
      </c>
      <c r="F598" s="47">
        <f t="shared" si="129"/>
        <v>0</v>
      </c>
      <c r="G598" s="48">
        <f t="shared" si="124"/>
        <v>0</v>
      </c>
      <c r="H598" s="49">
        <f t="shared" si="120"/>
        <v>0</v>
      </c>
      <c r="I598" s="47">
        <f t="shared" si="130"/>
        <v>0</v>
      </c>
      <c r="J598" s="47">
        <f t="shared" si="125"/>
        <v>0</v>
      </c>
      <c r="K598" s="50">
        <f t="shared" si="126"/>
        <v>0</v>
      </c>
      <c r="L598" s="63"/>
      <c r="M598" s="67"/>
      <c r="N598" s="51">
        <f t="shared" si="121"/>
        <v>7</v>
      </c>
      <c r="O598" s="19">
        <f t="shared" si="127"/>
        <v>10</v>
      </c>
      <c r="P598" s="20">
        <f t="shared" si="122"/>
        <v>0</v>
      </c>
      <c r="Q598" s="21"/>
      <c r="R598" s="21"/>
      <c r="S598" s="21"/>
      <c r="T598" s="21"/>
      <c r="U598" s="21"/>
      <c r="V598" s="21"/>
      <c r="W598" s="21"/>
      <c r="X598" s="21"/>
      <c r="Y598" s="21"/>
      <c r="Z598" s="21"/>
    </row>
    <row r="599" spans="1:26">
      <c r="A599" s="57">
        <v>592</v>
      </c>
      <c r="B599" s="70"/>
      <c r="C599" s="45">
        <f t="shared" si="128"/>
        <v>59212</v>
      </c>
      <c r="D599" s="46">
        <f t="shared" si="119"/>
        <v>0</v>
      </c>
      <c r="E599" s="47">
        <f t="shared" si="123"/>
        <v>0</v>
      </c>
      <c r="F599" s="47">
        <f t="shared" si="129"/>
        <v>0</v>
      </c>
      <c r="G599" s="48">
        <f t="shared" si="124"/>
        <v>0</v>
      </c>
      <c r="H599" s="49">
        <f t="shared" si="120"/>
        <v>0</v>
      </c>
      <c r="I599" s="47">
        <f t="shared" si="130"/>
        <v>0</v>
      </c>
      <c r="J599" s="47">
        <f t="shared" si="125"/>
        <v>0</v>
      </c>
      <c r="K599" s="50">
        <f t="shared" si="126"/>
        <v>0</v>
      </c>
      <c r="L599" s="63"/>
      <c r="M599" s="67"/>
      <c r="N599" s="51">
        <f t="shared" si="121"/>
        <v>7</v>
      </c>
      <c r="O599" s="19">
        <f t="shared" si="127"/>
        <v>10</v>
      </c>
      <c r="P599" s="20">
        <f t="shared" si="122"/>
        <v>0</v>
      </c>
      <c r="Q599" s="21"/>
      <c r="R599" s="21"/>
      <c r="S599" s="21"/>
      <c r="T599" s="21"/>
      <c r="U599" s="21"/>
      <c r="V599" s="21"/>
      <c r="W599" s="21"/>
      <c r="X599" s="21"/>
      <c r="Y599" s="21"/>
      <c r="Z599" s="21"/>
    </row>
    <row r="600" spans="1:26">
      <c r="A600" s="57">
        <v>593</v>
      </c>
      <c r="B600" s="70"/>
      <c r="C600" s="45">
        <f t="shared" si="128"/>
        <v>59240</v>
      </c>
      <c r="D600" s="46">
        <f t="shared" si="119"/>
        <v>0</v>
      </c>
      <c r="E600" s="47">
        <f t="shared" si="123"/>
        <v>0</v>
      </c>
      <c r="F600" s="47">
        <f t="shared" si="129"/>
        <v>0</v>
      </c>
      <c r="G600" s="48">
        <f t="shared" si="124"/>
        <v>0</v>
      </c>
      <c r="H600" s="49">
        <f t="shared" si="120"/>
        <v>0</v>
      </c>
      <c r="I600" s="47">
        <f t="shared" si="130"/>
        <v>0</v>
      </c>
      <c r="J600" s="47">
        <f t="shared" si="125"/>
        <v>0</v>
      </c>
      <c r="K600" s="50">
        <f t="shared" si="126"/>
        <v>0</v>
      </c>
      <c r="L600" s="63"/>
      <c r="M600" s="67"/>
      <c r="N600" s="51">
        <f t="shared" si="121"/>
        <v>7</v>
      </c>
      <c r="O600" s="19">
        <f t="shared" si="127"/>
        <v>10</v>
      </c>
      <c r="P600" s="20">
        <f t="shared" si="122"/>
        <v>0</v>
      </c>
      <c r="Q600" s="21"/>
      <c r="R600" s="21"/>
      <c r="S600" s="21"/>
      <c r="T600" s="21"/>
      <c r="U600" s="21"/>
      <c r="V600" s="21"/>
      <c r="W600" s="21"/>
      <c r="X600" s="21"/>
      <c r="Y600" s="21"/>
      <c r="Z600" s="21"/>
    </row>
    <row r="601" spans="1:26">
      <c r="A601" s="57">
        <v>594</v>
      </c>
      <c r="B601" s="70"/>
      <c r="C601" s="45">
        <f t="shared" si="128"/>
        <v>59271</v>
      </c>
      <c r="D601" s="46">
        <f t="shared" si="119"/>
        <v>0</v>
      </c>
      <c r="E601" s="47">
        <f t="shared" si="123"/>
        <v>0</v>
      </c>
      <c r="F601" s="47">
        <f t="shared" si="129"/>
        <v>0</v>
      </c>
      <c r="G601" s="48">
        <f t="shared" si="124"/>
        <v>0</v>
      </c>
      <c r="H601" s="49">
        <f t="shared" si="120"/>
        <v>0</v>
      </c>
      <c r="I601" s="47">
        <f t="shared" si="130"/>
        <v>0</v>
      </c>
      <c r="J601" s="47">
        <f t="shared" si="125"/>
        <v>0</v>
      </c>
      <c r="K601" s="50">
        <f t="shared" si="126"/>
        <v>0</v>
      </c>
      <c r="L601" s="63"/>
      <c r="M601" s="67"/>
      <c r="N601" s="51">
        <f t="shared" si="121"/>
        <v>7</v>
      </c>
      <c r="O601" s="19">
        <f t="shared" si="127"/>
        <v>10</v>
      </c>
      <c r="P601" s="20">
        <f t="shared" si="122"/>
        <v>0</v>
      </c>
      <c r="Q601" s="21"/>
      <c r="R601" s="21"/>
      <c r="S601" s="21"/>
      <c r="T601" s="21"/>
      <c r="U601" s="21"/>
      <c r="V601" s="21"/>
      <c r="W601" s="21"/>
      <c r="X601" s="21"/>
      <c r="Y601" s="21"/>
      <c r="Z601" s="21"/>
    </row>
    <row r="602" spans="1:26">
      <c r="A602" s="57">
        <v>595</v>
      </c>
      <c r="B602" s="70"/>
      <c r="C602" s="45">
        <f t="shared" si="128"/>
        <v>59301</v>
      </c>
      <c r="D602" s="46">
        <f t="shared" si="119"/>
        <v>0</v>
      </c>
      <c r="E602" s="47">
        <f t="shared" si="123"/>
        <v>0</v>
      </c>
      <c r="F602" s="47">
        <f t="shared" si="129"/>
        <v>0</v>
      </c>
      <c r="G602" s="48">
        <f t="shared" si="124"/>
        <v>0</v>
      </c>
      <c r="H602" s="49">
        <f t="shared" si="120"/>
        <v>0</v>
      </c>
      <c r="I602" s="47">
        <f t="shared" si="130"/>
        <v>0</v>
      </c>
      <c r="J602" s="47">
        <f t="shared" si="125"/>
        <v>0</v>
      </c>
      <c r="K602" s="50">
        <f t="shared" si="126"/>
        <v>0</v>
      </c>
      <c r="L602" s="63"/>
      <c r="M602" s="67"/>
      <c r="N602" s="51">
        <f t="shared" si="121"/>
        <v>7</v>
      </c>
      <c r="O602" s="19">
        <f t="shared" si="127"/>
        <v>10</v>
      </c>
      <c r="P602" s="20">
        <f t="shared" si="122"/>
        <v>0</v>
      </c>
      <c r="Q602" s="21"/>
      <c r="R602" s="21"/>
      <c r="S602" s="21"/>
      <c r="T602" s="21"/>
      <c r="U602" s="21"/>
      <c r="V602" s="21"/>
      <c r="W602" s="21"/>
      <c r="X602" s="21"/>
      <c r="Y602" s="21"/>
      <c r="Z602" s="21"/>
    </row>
    <row r="603" spans="1:26">
      <c r="A603" s="57">
        <v>596</v>
      </c>
      <c r="B603" s="70"/>
      <c r="C603" s="45">
        <f t="shared" si="128"/>
        <v>59332</v>
      </c>
      <c r="D603" s="46">
        <f t="shared" si="119"/>
        <v>0</v>
      </c>
      <c r="E603" s="47">
        <f t="shared" si="123"/>
        <v>0</v>
      </c>
      <c r="F603" s="47">
        <f t="shared" si="129"/>
        <v>0</v>
      </c>
      <c r="G603" s="48">
        <f t="shared" si="124"/>
        <v>0</v>
      </c>
      <c r="H603" s="49">
        <f t="shared" si="120"/>
        <v>0</v>
      </c>
      <c r="I603" s="47">
        <f t="shared" si="130"/>
        <v>0</v>
      </c>
      <c r="J603" s="47">
        <f t="shared" si="125"/>
        <v>0</v>
      </c>
      <c r="K603" s="50">
        <f t="shared" si="126"/>
        <v>0</v>
      </c>
      <c r="L603" s="63"/>
      <c r="M603" s="67"/>
      <c r="N603" s="51">
        <f t="shared" si="121"/>
        <v>7</v>
      </c>
      <c r="O603" s="19">
        <f t="shared" si="127"/>
        <v>10</v>
      </c>
      <c r="P603" s="20">
        <f t="shared" si="122"/>
        <v>0</v>
      </c>
      <c r="Q603" s="21"/>
      <c r="R603" s="21"/>
      <c r="S603" s="21"/>
      <c r="T603" s="21"/>
      <c r="U603" s="21"/>
      <c r="V603" s="21"/>
      <c r="W603" s="21"/>
      <c r="X603" s="21"/>
      <c r="Y603" s="21"/>
      <c r="Z603" s="21"/>
    </row>
    <row r="604" spans="1:26">
      <c r="A604" s="57">
        <v>597</v>
      </c>
      <c r="B604" s="70"/>
      <c r="C604" s="45">
        <f t="shared" si="128"/>
        <v>59362</v>
      </c>
      <c r="D604" s="46">
        <f t="shared" si="119"/>
        <v>0</v>
      </c>
      <c r="E604" s="47">
        <f t="shared" si="123"/>
        <v>0</v>
      </c>
      <c r="F604" s="47">
        <f t="shared" si="129"/>
        <v>0</v>
      </c>
      <c r="G604" s="48">
        <f t="shared" si="124"/>
        <v>0</v>
      </c>
      <c r="H604" s="49">
        <f t="shared" si="120"/>
        <v>0</v>
      </c>
      <c r="I604" s="47">
        <f t="shared" si="130"/>
        <v>0</v>
      </c>
      <c r="J604" s="47">
        <f t="shared" si="125"/>
        <v>0</v>
      </c>
      <c r="K604" s="50">
        <f t="shared" si="126"/>
        <v>0</v>
      </c>
      <c r="L604" s="63"/>
      <c r="M604" s="67"/>
      <c r="N604" s="51">
        <f t="shared" si="121"/>
        <v>7</v>
      </c>
      <c r="O604" s="19">
        <f t="shared" si="127"/>
        <v>10</v>
      </c>
      <c r="P604" s="20">
        <f t="shared" si="122"/>
        <v>0</v>
      </c>
      <c r="Q604" s="21"/>
      <c r="R604" s="21"/>
      <c r="S604" s="21"/>
      <c r="T604" s="21"/>
      <c r="U604" s="21"/>
      <c r="V604" s="21"/>
      <c r="W604" s="21"/>
      <c r="X604" s="21"/>
      <c r="Y604" s="21"/>
      <c r="Z604" s="21"/>
    </row>
    <row r="605" spans="1:26">
      <c r="A605" s="57">
        <v>598</v>
      </c>
      <c r="B605" s="70"/>
      <c r="C605" s="45">
        <f t="shared" si="128"/>
        <v>59393</v>
      </c>
      <c r="D605" s="46">
        <f t="shared" si="119"/>
        <v>0</v>
      </c>
      <c r="E605" s="47">
        <f t="shared" si="123"/>
        <v>0</v>
      </c>
      <c r="F605" s="47">
        <f t="shared" si="129"/>
        <v>0</v>
      </c>
      <c r="G605" s="48">
        <f t="shared" si="124"/>
        <v>0</v>
      </c>
      <c r="H605" s="49">
        <f t="shared" si="120"/>
        <v>0</v>
      </c>
      <c r="I605" s="47">
        <f t="shared" si="130"/>
        <v>0</v>
      </c>
      <c r="J605" s="47">
        <f t="shared" si="125"/>
        <v>0</v>
      </c>
      <c r="K605" s="50">
        <f t="shared" si="126"/>
        <v>0</v>
      </c>
      <c r="L605" s="63"/>
      <c r="M605" s="67"/>
      <c r="N605" s="51">
        <f t="shared" si="121"/>
        <v>7</v>
      </c>
      <c r="O605" s="19">
        <f t="shared" si="127"/>
        <v>10</v>
      </c>
      <c r="P605" s="20">
        <f t="shared" si="122"/>
        <v>0</v>
      </c>
      <c r="Q605" s="21"/>
      <c r="R605" s="21"/>
      <c r="S605" s="21"/>
      <c r="T605" s="21"/>
      <c r="U605" s="21"/>
      <c r="V605" s="21"/>
      <c r="W605" s="21"/>
      <c r="X605" s="21"/>
      <c r="Y605" s="21"/>
      <c r="Z605" s="21"/>
    </row>
    <row r="606" spans="1:26">
      <c r="A606" s="57">
        <v>599</v>
      </c>
      <c r="B606" s="70"/>
      <c r="C606" s="45">
        <f t="shared" si="128"/>
        <v>59424</v>
      </c>
      <c r="D606" s="46">
        <f t="shared" si="119"/>
        <v>0</v>
      </c>
      <c r="E606" s="47">
        <f t="shared" si="123"/>
        <v>0</v>
      </c>
      <c r="F606" s="47">
        <f t="shared" si="129"/>
        <v>0</v>
      </c>
      <c r="G606" s="48">
        <f t="shared" si="124"/>
        <v>0</v>
      </c>
      <c r="H606" s="49">
        <f t="shared" si="120"/>
        <v>0</v>
      </c>
      <c r="I606" s="47">
        <f t="shared" si="130"/>
        <v>0</v>
      </c>
      <c r="J606" s="47">
        <f t="shared" si="125"/>
        <v>0</v>
      </c>
      <c r="K606" s="50">
        <f t="shared" si="126"/>
        <v>0</v>
      </c>
      <c r="L606" s="63"/>
      <c r="M606" s="67"/>
      <c r="N606" s="51">
        <f t="shared" si="121"/>
        <v>7</v>
      </c>
      <c r="O606" s="19">
        <f t="shared" si="127"/>
        <v>10</v>
      </c>
      <c r="P606" s="20">
        <f t="shared" si="122"/>
        <v>0</v>
      </c>
      <c r="Q606" s="21"/>
      <c r="R606" s="21"/>
      <c r="S606" s="21"/>
      <c r="T606" s="21"/>
      <c r="U606" s="21"/>
      <c r="V606" s="21"/>
      <c r="W606" s="21"/>
      <c r="X606" s="21"/>
      <c r="Y606" s="21"/>
      <c r="Z606" s="21"/>
    </row>
    <row r="607" spans="1:26" ht="15.75" thickBot="1">
      <c r="A607" s="58">
        <v>600</v>
      </c>
      <c r="B607" s="70"/>
      <c r="C607" s="45">
        <f t="shared" si="128"/>
        <v>59454</v>
      </c>
      <c r="D607" s="46">
        <f t="shared" si="119"/>
        <v>0</v>
      </c>
      <c r="E607" s="59">
        <f t="shared" si="123"/>
        <v>0</v>
      </c>
      <c r="F607" s="47">
        <f t="shared" si="129"/>
        <v>0</v>
      </c>
      <c r="G607" s="60">
        <f t="shared" si="124"/>
        <v>0</v>
      </c>
      <c r="H607" s="71">
        <f t="shared" si="120"/>
        <v>0</v>
      </c>
      <c r="I607" s="72">
        <f t="shared" si="130"/>
        <v>0</v>
      </c>
      <c r="J607" s="72">
        <f t="shared" si="125"/>
        <v>0</v>
      </c>
      <c r="K607" s="73">
        <f t="shared" si="126"/>
        <v>0</v>
      </c>
      <c r="L607" s="74"/>
      <c r="M607" s="75"/>
      <c r="N607" s="51">
        <f t="shared" si="121"/>
        <v>7</v>
      </c>
      <c r="O607" s="19">
        <f t="shared" si="127"/>
        <v>10</v>
      </c>
      <c r="P607" s="20">
        <f t="shared" si="122"/>
        <v>0</v>
      </c>
      <c r="Q607" s="21"/>
      <c r="R607" s="21"/>
      <c r="S607" s="21"/>
      <c r="T607" s="21"/>
      <c r="U607" s="21"/>
      <c r="V607" s="21"/>
      <c r="W607" s="21"/>
      <c r="X607" s="21"/>
      <c r="Y607" s="21"/>
      <c r="Z607" s="21"/>
    </row>
    <row r="608" spans="1:26">
      <c r="A608" s="76"/>
      <c r="B608" s="76"/>
      <c r="C608" s="77"/>
      <c r="D608" s="78"/>
      <c r="E608" s="78"/>
      <c r="F608" s="47">
        <f t="shared" si="129"/>
        <v>0</v>
      </c>
      <c r="G608" s="78"/>
      <c r="H608" s="78"/>
      <c r="I608" s="78"/>
      <c r="J608" s="78"/>
      <c r="K608" s="78"/>
      <c r="L608" s="79"/>
      <c r="M608" s="79"/>
      <c r="N608" s="80"/>
      <c r="O608" s="19"/>
      <c r="P608" s="20"/>
      <c r="Q608" s="21"/>
      <c r="R608" s="21"/>
      <c r="S608" s="21"/>
      <c r="T608" s="21"/>
      <c r="U608" s="21"/>
      <c r="V608" s="21"/>
      <c r="W608" s="21"/>
      <c r="X608" s="21"/>
      <c r="Y608" s="21"/>
      <c r="Z608" s="21"/>
    </row>
    <row r="609" spans="1:26">
      <c r="A609" s="76"/>
      <c r="B609" s="76"/>
      <c r="C609" s="77"/>
      <c r="D609" s="78"/>
      <c r="E609" s="78"/>
      <c r="F609" s="47">
        <f t="shared" si="129"/>
        <v>0</v>
      </c>
      <c r="G609" s="78"/>
      <c r="H609" s="78"/>
      <c r="I609" s="78"/>
      <c r="J609" s="78"/>
      <c r="K609" s="78"/>
      <c r="L609" s="79"/>
      <c r="M609" s="79"/>
      <c r="N609" s="80"/>
      <c r="O609" s="19"/>
      <c r="P609" s="20"/>
      <c r="Q609" s="21"/>
      <c r="R609" s="21"/>
      <c r="S609" s="21"/>
      <c r="T609" s="21"/>
      <c r="U609" s="21"/>
      <c r="V609" s="21"/>
      <c r="W609" s="21"/>
      <c r="X609" s="21"/>
      <c r="Y609" s="21"/>
      <c r="Z609" s="21"/>
    </row>
    <row r="610" spans="1:26">
      <c r="A610" s="76"/>
      <c r="B610" s="76"/>
      <c r="C610" s="77"/>
      <c r="D610" s="78"/>
      <c r="E610" s="78"/>
      <c r="F610" s="47">
        <f t="shared" si="129"/>
        <v>0</v>
      </c>
      <c r="G610" s="78"/>
      <c r="H610" s="78"/>
      <c r="I610" s="78"/>
      <c r="J610" s="78"/>
      <c r="K610" s="78"/>
      <c r="L610" s="79"/>
      <c r="M610" s="79"/>
      <c r="N610" s="80"/>
      <c r="O610" s="19"/>
      <c r="P610" s="20"/>
      <c r="Q610" s="21"/>
      <c r="R610" s="21"/>
      <c r="S610" s="21"/>
      <c r="T610" s="21"/>
      <c r="U610" s="21"/>
      <c r="V610" s="21"/>
      <c r="W610" s="21"/>
      <c r="X610" s="21"/>
      <c r="Y610" s="21"/>
      <c r="Z610" s="21"/>
    </row>
    <row r="611" spans="1:26">
      <c r="A611" s="76"/>
      <c r="B611" s="76"/>
      <c r="C611" s="77"/>
      <c r="D611" s="78"/>
      <c r="E611" s="78"/>
      <c r="F611" s="47">
        <f t="shared" si="129"/>
        <v>0</v>
      </c>
      <c r="G611" s="78"/>
      <c r="H611" s="78"/>
      <c r="I611" s="78"/>
      <c r="J611" s="78"/>
      <c r="K611" s="78"/>
      <c r="L611" s="79"/>
      <c r="M611" s="79"/>
      <c r="N611" s="80"/>
      <c r="O611" s="19"/>
      <c r="P611" s="20"/>
      <c r="Q611" s="21"/>
      <c r="R611" s="21"/>
      <c r="S611" s="21"/>
      <c r="T611" s="21"/>
      <c r="U611" s="21"/>
      <c r="V611" s="21"/>
      <c r="W611" s="21"/>
      <c r="X611" s="21"/>
      <c r="Y611" s="21"/>
      <c r="Z611" s="21"/>
    </row>
    <row r="612" spans="1:26">
      <c r="A612" s="76"/>
      <c r="B612" s="76"/>
      <c r="C612" s="77"/>
      <c r="D612" s="78"/>
      <c r="E612" s="78"/>
      <c r="F612" s="47">
        <f t="shared" si="129"/>
        <v>0</v>
      </c>
      <c r="G612" s="78"/>
      <c r="H612" s="78"/>
      <c r="I612" s="78"/>
      <c r="J612" s="78"/>
      <c r="K612" s="78"/>
      <c r="L612" s="79"/>
      <c r="M612" s="79"/>
      <c r="N612" s="80"/>
      <c r="O612" s="19"/>
      <c r="P612" s="20"/>
      <c r="Q612" s="21"/>
      <c r="R612" s="21"/>
      <c r="S612" s="21"/>
      <c r="T612" s="21"/>
      <c r="U612" s="21"/>
      <c r="V612" s="21"/>
      <c r="W612" s="21"/>
      <c r="X612" s="21"/>
      <c r="Y612" s="21"/>
      <c r="Z612" s="21"/>
    </row>
    <row r="613" spans="1:26">
      <c r="A613" s="76"/>
      <c r="B613" s="76"/>
      <c r="C613" s="77"/>
      <c r="D613" s="78"/>
      <c r="E613" s="78"/>
      <c r="F613" s="47">
        <f t="shared" si="129"/>
        <v>0</v>
      </c>
      <c r="G613" s="78"/>
      <c r="H613" s="78"/>
      <c r="I613" s="78"/>
      <c r="J613" s="78"/>
      <c r="K613" s="78"/>
      <c r="L613" s="79"/>
      <c r="M613" s="79"/>
      <c r="N613" s="80"/>
      <c r="O613" s="19"/>
      <c r="P613" s="20"/>
      <c r="Q613" s="21"/>
      <c r="R613" s="21"/>
      <c r="S613" s="21"/>
      <c r="T613" s="21"/>
      <c r="U613" s="21"/>
      <c r="V613" s="21"/>
      <c r="W613" s="21"/>
      <c r="X613" s="21"/>
      <c r="Y613" s="21"/>
      <c r="Z613" s="21"/>
    </row>
    <row r="614" spans="1:26">
      <c r="A614" s="76"/>
      <c r="B614" s="76"/>
      <c r="C614" s="77"/>
      <c r="D614" s="78"/>
      <c r="E614" s="78"/>
      <c r="F614" s="47">
        <f t="shared" si="129"/>
        <v>0</v>
      </c>
      <c r="G614" s="78"/>
      <c r="H614" s="78"/>
      <c r="I614" s="78"/>
      <c r="J614" s="78"/>
      <c r="K614" s="78"/>
      <c r="L614" s="79"/>
      <c r="M614" s="79"/>
      <c r="N614" s="80"/>
      <c r="O614" s="19"/>
      <c r="P614" s="20"/>
      <c r="Q614" s="21"/>
      <c r="R614" s="21"/>
      <c r="S614" s="21"/>
      <c r="T614" s="21"/>
      <c r="U614" s="21"/>
      <c r="V614" s="21"/>
      <c r="W614" s="21"/>
      <c r="X614" s="21"/>
      <c r="Y614" s="21"/>
      <c r="Z614" s="21"/>
    </row>
    <row r="615" spans="1:26">
      <c r="A615" s="76"/>
      <c r="B615" s="76"/>
      <c r="C615" s="77"/>
      <c r="D615" s="78"/>
      <c r="E615" s="78"/>
      <c r="F615" s="47">
        <f t="shared" si="129"/>
        <v>0</v>
      </c>
      <c r="G615" s="78"/>
      <c r="H615" s="78"/>
      <c r="I615" s="78"/>
      <c r="J615" s="78"/>
      <c r="K615" s="78"/>
      <c r="L615" s="79"/>
      <c r="M615" s="79"/>
      <c r="N615" s="80"/>
      <c r="O615" s="19"/>
      <c r="P615" s="20"/>
      <c r="Q615" s="21"/>
      <c r="R615" s="21"/>
      <c r="S615" s="21"/>
      <c r="T615" s="21"/>
      <c r="U615" s="21"/>
      <c r="V615" s="21"/>
      <c r="W615" s="21"/>
      <c r="X615" s="21"/>
      <c r="Y615" s="21"/>
      <c r="Z615" s="21"/>
    </row>
    <row r="616" spans="1:26">
      <c r="A616" s="76"/>
      <c r="B616" s="76"/>
      <c r="C616" s="77"/>
      <c r="D616" s="78"/>
      <c r="E616" s="78"/>
      <c r="F616" s="47">
        <f t="shared" si="129"/>
        <v>0</v>
      </c>
      <c r="G616" s="78"/>
      <c r="H616" s="78"/>
      <c r="I616" s="78"/>
      <c r="J616" s="78"/>
      <c r="K616" s="78"/>
      <c r="L616" s="79"/>
      <c r="M616" s="79"/>
      <c r="N616" s="80"/>
      <c r="O616" s="19"/>
      <c r="P616" s="20"/>
      <c r="Q616" s="21"/>
      <c r="R616" s="21"/>
      <c r="S616" s="21"/>
      <c r="T616" s="21"/>
      <c r="U616" s="21"/>
      <c r="V616" s="21"/>
      <c r="W616" s="21"/>
      <c r="X616" s="21"/>
      <c r="Y616" s="21"/>
      <c r="Z616" s="21"/>
    </row>
    <row r="617" spans="1:26">
      <c r="A617" s="76"/>
      <c r="B617" s="76"/>
      <c r="C617" s="77"/>
      <c r="D617" s="78"/>
      <c r="E617" s="78"/>
      <c r="F617" s="47">
        <f t="shared" si="129"/>
        <v>0</v>
      </c>
      <c r="G617" s="78"/>
      <c r="H617" s="78"/>
      <c r="I617" s="78"/>
      <c r="J617" s="78"/>
      <c r="K617" s="78"/>
      <c r="L617" s="79"/>
      <c r="M617" s="79"/>
      <c r="N617" s="80"/>
      <c r="O617" s="19"/>
      <c r="P617" s="20"/>
      <c r="Q617" s="21"/>
      <c r="R617" s="21"/>
      <c r="S617" s="21"/>
      <c r="T617" s="21"/>
      <c r="U617" s="21"/>
      <c r="V617" s="21"/>
      <c r="W617" s="21"/>
      <c r="X617" s="21"/>
      <c r="Y617" s="21"/>
      <c r="Z617" s="21"/>
    </row>
    <row r="618" spans="1:26">
      <c r="A618" s="76"/>
      <c r="B618" s="76"/>
      <c r="C618" s="77"/>
      <c r="D618" s="78"/>
      <c r="E618" s="78"/>
      <c r="F618" s="47">
        <f t="shared" si="129"/>
        <v>0</v>
      </c>
      <c r="G618" s="78"/>
      <c r="H618" s="78"/>
      <c r="I618" s="78"/>
      <c r="J618" s="78"/>
      <c r="K618" s="78"/>
      <c r="L618" s="79"/>
      <c r="M618" s="79"/>
      <c r="N618" s="80"/>
      <c r="O618" s="19"/>
      <c r="P618" s="20"/>
      <c r="Q618" s="21"/>
      <c r="R618" s="21"/>
      <c r="S618" s="21"/>
      <c r="T618" s="21"/>
      <c r="U618" s="21"/>
      <c r="V618" s="21"/>
      <c r="W618" s="21"/>
      <c r="X618" s="21"/>
      <c r="Y618" s="21"/>
      <c r="Z618" s="21"/>
    </row>
    <row r="619" spans="1:26">
      <c r="A619" s="76"/>
      <c r="B619" s="76"/>
      <c r="C619" s="77"/>
      <c r="D619" s="78"/>
      <c r="E619" s="78"/>
      <c r="F619" s="47">
        <f t="shared" si="129"/>
        <v>0</v>
      </c>
      <c r="G619" s="78"/>
      <c r="H619" s="78"/>
      <c r="I619" s="78"/>
      <c r="J619" s="78"/>
      <c r="K619" s="78"/>
      <c r="L619" s="79"/>
      <c r="M619" s="79"/>
      <c r="N619" s="80"/>
      <c r="O619" s="19"/>
      <c r="P619" s="20"/>
      <c r="Q619" s="21"/>
      <c r="R619" s="21"/>
      <c r="S619" s="21"/>
      <c r="T619" s="21"/>
      <c r="U619" s="21"/>
      <c r="V619" s="21"/>
      <c r="W619" s="21"/>
      <c r="X619" s="21"/>
      <c r="Y619" s="21"/>
      <c r="Z619" s="21"/>
    </row>
    <row r="620" spans="1:26">
      <c r="A620" s="76"/>
      <c r="B620" s="76"/>
      <c r="C620" s="77"/>
      <c r="D620" s="78"/>
      <c r="E620" s="78"/>
      <c r="F620" s="47">
        <f t="shared" si="129"/>
        <v>0</v>
      </c>
      <c r="G620" s="78"/>
      <c r="H620" s="78"/>
      <c r="I620" s="78"/>
      <c r="J620" s="78"/>
      <c r="K620" s="78"/>
      <c r="L620" s="79"/>
      <c r="M620" s="79"/>
      <c r="N620" s="80"/>
      <c r="O620" s="19"/>
      <c r="P620" s="20"/>
      <c r="Q620" s="21"/>
      <c r="R620" s="21"/>
      <c r="S620" s="21"/>
      <c r="T620" s="21"/>
      <c r="U620" s="21"/>
      <c r="V620" s="21"/>
      <c r="W620" s="21"/>
      <c r="X620" s="21"/>
      <c r="Y620" s="21"/>
      <c r="Z620" s="21"/>
    </row>
    <row r="621" spans="1:26">
      <c r="A621" s="76"/>
      <c r="B621" s="76"/>
      <c r="C621" s="77"/>
      <c r="D621" s="78"/>
      <c r="E621" s="78"/>
      <c r="F621" s="47">
        <f t="shared" si="129"/>
        <v>0</v>
      </c>
      <c r="G621" s="78"/>
      <c r="H621" s="78"/>
      <c r="I621" s="78"/>
      <c r="J621" s="78"/>
      <c r="K621" s="78"/>
      <c r="L621" s="79"/>
      <c r="M621" s="79"/>
      <c r="N621" s="80"/>
      <c r="O621" s="19"/>
      <c r="P621" s="20"/>
      <c r="Q621" s="21"/>
      <c r="R621" s="21"/>
      <c r="S621" s="21"/>
      <c r="T621" s="21"/>
      <c r="U621" s="21"/>
      <c r="V621" s="21"/>
      <c r="W621" s="21"/>
      <c r="X621" s="21"/>
      <c r="Y621" s="21"/>
      <c r="Z621" s="21"/>
    </row>
    <row r="622" spans="1:26">
      <c r="A622" s="76"/>
      <c r="B622" s="76"/>
      <c r="C622" s="77"/>
      <c r="D622" s="78"/>
      <c r="E622" s="78"/>
      <c r="F622" s="47">
        <f t="shared" si="129"/>
        <v>0</v>
      </c>
      <c r="G622" s="78"/>
      <c r="H622" s="78"/>
      <c r="I622" s="78"/>
      <c r="J622" s="78"/>
      <c r="K622" s="78"/>
      <c r="L622" s="79"/>
      <c r="M622" s="79"/>
      <c r="N622" s="80"/>
      <c r="O622" s="19"/>
      <c r="P622" s="20"/>
      <c r="Q622" s="21"/>
      <c r="R622" s="21"/>
      <c r="S622" s="21"/>
      <c r="T622" s="21"/>
      <c r="U622" s="21"/>
      <c r="V622" s="21"/>
      <c r="W622" s="21"/>
      <c r="X622" s="21"/>
      <c r="Y622" s="21"/>
      <c r="Z622" s="21"/>
    </row>
    <row r="623" spans="1:26">
      <c r="A623" s="76"/>
      <c r="B623" s="76"/>
      <c r="C623" s="77"/>
      <c r="D623" s="78"/>
      <c r="E623" s="78"/>
      <c r="F623" s="47">
        <f t="shared" si="129"/>
        <v>0</v>
      </c>
      <c r="G623" s="78"/>
      <c r="H623" s="78"/>
      <c r="I623" s="78"/>
      <c r="J623" s="78"/>
      <c r="K623" s="78"/>
      <c r="L623" s="79"/>
      <c r="M623" s="79"/>
      <c r="N623" s="80"/>
      <c r="O623" s="19"/>
      <c r="P623" s="20"/>
      <c r="Q623" s="21"/>
      <c r="R623" s="21"/>
      <c r="S623" s="21"/>
      <c r="T623" s="21"/>
      <c r="U623" s="21"/>
      <c r="V623" s="21"/>
      <c r="W623" s="21"/>
      <c r="X623" s="21"/>
      <c r="Y623" s="21"/>
      <c r="Z623" s="21"/>
    </row>
    <row r="624" spans="1:26">
      <c r="A624" s="76"/>
      <c r="B624" s="76"/>
      <c r="C624" s="77"/>
      <c r="D624" s="78"/>
      <c r="E624" s="78"/>
      <c r="F624" s="47">
        <f t="shared" si="129"/>
        <v>0</v>
      </c>
      <c r="G624" s="78"/>
      <c r="H624" s="78"/>
      <c r="I624" s="78"/>
      <c r="J624" s="78"/>
      <c r="K624" s="78"/>
      <c r="L624" s="79"/>
      <c r="M624" s="79"/>
      <c r="N624" s="80"/>
      <c r="O624" s="19"/>
      <c r="P624" s="20"/>
      <c r="Q624" s="21"/>
      <c r="R624" s="21"/>
      <c r="S624" s="21"/>
      <c r="T624" s="21"/>
      <c r="U624" s="21"/>
      <c r="V624" s="21"/>
      <c r="W624" s="21"/>
      <c r="X624" s="21"/>
      <c r="Y624" s="21"/>
      <c r="Z624" s="21"/>
    </row>
    <row r="625" spans="1:26">
      <c r="A625" s="76"/>
      <c r="B625" s="76"/>
      <c r="C625" s="77"/>
      <c r="D625" s="78"/>
      <c r="E625" s="78"/>
      <c r="F625" s="47">
        <f t="shared" si="129"/>
        <v>0</v>
      </c>
      <c r="G625" s="78"/>
      <c r="H625" s="78"/>
      <c r="I625" s="78"/>
      <c r="J625" s="78"/>
      <c r="K625" s="78"/>
      <c r="L625" s="79"/>
      <c r="M625" s="79"/>
      <c r="N625" s="80"/>
      <c r="O625" s="19"/>
      <c r="P625" s="20"/>
      <c r="Q625" s="21"/>
      <c r="R625" s="21"/>
      <c r="S625" s="21"/>
      <c r="T625" s="21"/>
      <c r="U625" s="21"/>
      <c r="V625" s="21"/>
      <c r="W625" s="21"/>
      <c r="X625" s="21"/>
      <c r="Y625" s="21"/>
      <c r="Z625" s="21"/>
    </row>
    <row r="626" spans="1:26">
      <c r="A626" s="76"/>
      <c r="B626" s="76"/>
      <c r="C626" s="77"/>
      <c r="D626" s="78"/>
      <c r="E626" s="78"/>
      <c r="F626" s="47">
        <f t="shared" si="129"/>
        <v>0</v>
      </c>
      <c r="G626" s="78"/>
      <c r="H626" s="78"/>
      <c r="I626" s="78"/>
      <c r="J626" s="78"/>
      <c r="K626" s="78"/>
      <c r="L626" s="79"/>
      <c r="M626" s="79"/>
      <c r="N626" s="80"/>
      <c r="O626" s="19"/>
      <c r="P626" s="20"/>
      <c r="Q626" s="21"/>
      <c r="R626" s="21"/>
      <c r="S626" s="21"/>
      <c r="T626" s="21"/>
      <c r="U626" s="21"/>
      <c r="V626" s="21"/>
      <c r="W626" s="21"/>
      <c r="X626" s="21"/>
      <c r="Y626" s="21"/>
      <c r="Z626" s="21"/>
    </row>
    <row r="627" spans="1:26">
      <c r="A627" s="76"/>
      <c r="B627" s="76"/>
      <c r="C627" s="77"/>
      <c r="D627" s="78"/>
      <c r="E627" s="78"/>
      <c r="F627" s="47">
        <f t="shared" si="129"/>
        <v>0</v>
      </c>
      <c r="G627" s="78"/>
      <c r="H627" s="78"/>
      <c r="I627" s="78"/>
      <c r="J627" s="78"/>
      <c r="K627" s="78"/>
      <c r="L627" s="79"/>
      <c r="M627" s="79"/>
      <c r="N627" s="80"/>
      <c r="O627" s="19"/>
      <c r="P627" s="20"/>
      <c r="Q627" s="21"/>
      <c r="R627" s="21"/>
      <c r="S627" s="21"/>
      <c r="T627" s="21"/>
      <c r="U627" s="21"/>
      <c r="V627" s="21"/>
      <c r="W627" s="21"/>
      <c r="X627" s="21"/>
      <c r="Y627" s="21"/>
      <c r="Z627" s="21"/>
    </row>
    <row r="628" spans="1:26">
      <c r="A628" s="76"/>
      <c r="B628" s="76"/>
      <c r="C628" s="77"/>
      <c r="D628" s="78"/>
      <c r="E628" s="78"/>
      <c r="F628" s="47">
        <f t="shared" si="129"/>
        <v>0</v>
      </c>
      <c r="G628" s="78"/>
      <c r="H628" s="78"/>
      <c r="I628" s="78"/>
      <c r="J628" s="78"/>
      <c r="K628" s="78"/>
      <c r="L628" s="79"/>
      <c r="M628" s="79"/>
      <c r="N628" s="80"/>
      <c r="O628" s="19"/>
      <c r="P628" s="20"/>
      <c r="Q628" s="21"/>
      <c r="R628" s="21"/>
      <c r="S628" s="21"/>
      <c r="T628" s="21"/>
      <c r="U628" s="21"/>
      <c r="V628" s="21"/>
      <c r="W628" s="21"/>
      <c r="X628" s="21"/>
      <c r="Y628" s="21"/>
      <c r="Z628" s="21"/>
    </row>
    <row r="629" spans="1:26">
      <c r="A629" s="76"/>
      <c r="B629" s="76"/>
      <c r="C629" s="77"/>
      <c r="D629" s="78"/>
      <c r="E629" s="78"/>
      <c r="F629" s="47">
        <f t="shared" si="129"/>
        <v>0</v>
      </c>
      <c r="G629" s="78"/>
      <c r="H629" s="78"/>
      <c r="I629" s="78"/>
      <c r="J629" s="78"/>
      <c r="K629" s="78"/>
      <c r="L629" s="79"/>
      <c r="M629" s="79"/>
      <c r="N629" s="80"/>
      <c r="O629" s="19"/>
      <c r="P629" s="20"/>
      <c r="Q629" s="21"/>
      <c r="R629" s="21"/>
      <c r="S629" s="21"/>
      <c r="T629" s="21"/>
      <c r="U629" s="21"/>
      <c r="V629" s="21"/>
      <c r="W629" s="21"/>
      <c r="X629" s="21"/>
      <c r="Y629" s="21"/>
      <c r="Z629" s="21"/>
    </row>
    <row r="630" spans="1:26">
      <c r="A630" s="76"/>
      <c r="B630" s="76"/>
      <c r="C630" s="77"/>
      <c r="D630" s="78"/>
      <c r="E630" s="78"/>
      <c r="F630" s="47">
        <f t="shared" si="129"/>
        <v>0</v>
      </c>
      <c r="G630" s="78"/>
      <c r="H630" s="78"/>
      <c r="I630" s="78"/>
      <c r="J630" s="78"/>
      <c r="K630" s="78"/>
      <c r="L630" s="79"/>
      <c r="M630" s="79"/>
      <c r="N630" s="80"/>
      <c r="O630" s="19"/>
      <c r="P630" s="20"/>
      <c r="Q630" s="21"/>
      <c r="R630" s="21"/>
      <c r="S630" s="21"/>
      <c r="T630" s="21"/>
      <c r="U630" s="21"/>
      <c r="V630" s="21"/>
      <c r="W630" s="21"/>
      <c r="X630" s="21"/>
      <c r="Y630" s="21"/>
      <c r="Z630" s="21"/>
    </row>
    <row r="631" spans="1:26">
      <c r="A631" s="76"/>
      <c r="B631" s="76"/>
      <c r="C631" s="77"/>
      <c r="D631" s="78"/>
      <c r="E631" s="78"/>
      <c r="F631" s="47">
        <f t="shared" si="129"/>
        <v>0</v>
      </c>
      <c r="G631" s="78"/>
      <c r="H631" s="78"/>
      <c r="I631" s="78"/>
      <c r="J631" s="78"/>
      <c r="K631" s="78"/>
      <c r="L631" s="79"/>
      <c r="M631" s="79"/>
      <c r="N631" s="80"/>
      <c r="O631" s="19"/>
      <c r="P631" s="20"/>
      <c r="Q631" s="21"/>
      <c r="R631" s="21"/>
      <c r="S631" s="21"/>
      <c r="T631" s="21"/>
      <c r="U631" s="21"/>
      <c r="V631" s="21"/>
      <c r="W631" s="21"/>
      <c r="X631" s="21"/>
      <c r="Y631" s="21"/>
      <c r="Z631" s="21"/>
    </row>
    <row r="632" spans="1:26">
      <c r="A632" s="76"/>
      <c r="B632" s="76"/>
      <c r="C632" s="77"/>
      <c r="D632" s="78"/>
      <c r="E632" s="78"/>
      <c r="F632" s="47">
        <f t="shared" si="129"/>
        <v>0</v>
      </c>
      <c r="G632" s="78"/>
      <c r="H632" s="78"/>
      <c r="I632" s="78"/>
      <c r="J632" s="78"/>
      <c r="K632" s="78"/>
      <c r="L632" s="79"/>
      <c r="M632" s="79"/>
      <c r="N632" s="80"/>
      <c r="O632" s="19"/>
      <c r="P632" s="20"/>
      <c r="Q632" s="21"/>
      <c r="R632" s="21"/>
      <c r="S632" s="21"/>
      <c r="T632" s="21"/>
      <c r="U632" s="21"/>
      <c r="V632" s="21"/>
      <c r="W632" s="21"/>
      <c r="X632" s="21"/>
      <c r="Y632" s="21"/>
      <c r="Z632" s="21"/>
    </row>
    <row r="633" spans="1:26">
      <c r="A633" s="76"/>
      <c r="B633" s="76"/>
      <c r="C633" s="77"/>
      <c r="D633" s="78"/>
      <c r="E633" s="78"/>
      <c r="F633" s="47">
        <f t="shared" si="129"/>
        <v>0</v>
      </c>
      <c r="G633" s="78"/>
      <c r="H633" s="78"/>
      <c r="I633" s="78"/>
      <c r="J633" s="78"/>
      <c r="K633" s="78"/>
      <c r="L633" s="79"/>
      <c r="M633" s="79"/>
      <c r="N633" s="80"/>
      <c r="O633" s="19"/>
      <c r="P633" s="20"/>
      <c r="Q633" s="21"/>
      <c r="R633" s="21"/>
      <c r="S633" s="21"/>
      <c r="T633" s="21"/>
      <c r="U633" s="21"/>
      <c r="V633" s="21"/>
      <c r="W633" s="21"/>
      <c r="X633" s="21"/>
      <c r="Y633" s="21"/>
      <c r="Z633" s="21"/>
    </row>
    <row r="634" spans="1:26">
      <c r="A634" s="76"/>
      <c r="B634" s="76"/>
      <c r="C634" s="77"/>
      <c r="D634" s="78"/>
      <c r="E634" s="78"/>
      <c r="F634" s="47">
        <f t="shared" si="129"/>
        <v>0</v>
      </c>
      <c r="G634" s="78"/>
      <c r="H634" s="78"/>
      <c r="I634" s="78"/>
      <c r="J634" s="78"/>
      <c r="K634" s="78"/>
      <c r="L634" s="79"/>
      <c r="M634" s="79"/>
      <c r="N634" s="80"/>
      <c r="O634" s="19"/>
      <c r="P634" s="20"/>
      <c r="Q634" s="21"/>
      <c r="R634" s="21"/>
      <c r="S634" s="21"/>
      <c r="T634" s="21"/>
      <c r="U634" s="21"/>
      <c r="V634" s="21"/>
      <c r="W634" s="21"/>
      <c r="X634" s="21"/>
      <c r="Y634" s="21"/>
      <c r="Z634" s="21"/>
    </row>
    <row r="635" spans="1:26">
      <c r="A635" s="76"/>
      <c r="B635" s="76"/>
      <c r="C635" s="77"/>
      <c r="D635" s="78"/>
      <c r="E635" s="78"/>
      <c r="F635" s="47">
        <f t="shared" si="129"/>
        <v>0</v>
      </c>
      <c r="G635" s="78"/>
      <c r="H635" s="78"/>
      <c r="I635" s="78"/>
      <c r="J635" s="78"/>
      <c r="K635" s="78"/>
      <c r="L635" s="79"/>
      <c r="M635" s="79"/>
      <c r="N635" s="80"/>
      <c r="O635" s="19"/>
      <c r="P635" s="20"/>
      <c r="Q635" s="21"/>
      <c r="R635" s="21"/>
      <c r="S635" s="21"/>
      <c r="T635" s="21"/>
      <c r="U635" s="21"/>
      <c r="V635" s="21"/>
      <c r="W635" s="21"/>
      <c r="X635" s="21"/>
      <c r="Y635" s="21"/>
      <c r="Z635" s="21"/>
    </row>
    <row r="636" spans="1:26">
      <c r="A636" s="76"/>
      <c r="B636" s="76"/>
      <c r="C636" s="77"/>
      <c r="D636" s="78"/>
      <c r="E636" s="78"/>
      <c r="F636" s="47">
        <f t="shared" si="129"/>
        <v>0</v>
      </c>
      <c r="G636" s="78"/>
      <c r="H636" s="78"/>
      <c r="I636" s="78"/>
      <c r="J636" s="78"/>
      <c r="K636" s="78"/>
      <c r="L636" s="79"/>
      <c r="M636" s="79"/>
      <c r="N636" s="80"/>
      <c r="O636" s="19"/>
      <c r="P636" s="20"/>
      <c r="Q636" s="21"/>
      <c r="R636" s="21"/>
      <c r="S636" s="21"/>
      <c r="T636" s="21"/>
      <c r="U636" s="21"/>
      <c r="V636" s="21"/>
      <c r="W636" s="21"/>
      <c r="X636" s="21"/>
      <c r="Y636" s="21"/>
      <c r="Z636" s="21"/>
    </row>
    <row r="637" spans="1:26">
      <c r="A637" s="76"/>
      <c r="B637" s="76"/>
      <c r="C637" s="77"/>
      <c r="D637" s="78"/>
      <c r="E637" s="78"/>
      <c r="F637" s="47">
        <f t="shared" si="129"/>
        <v>0</v>
      </c>
      <c r="G637" s="78"/>
      <c r="H637" s="78"/>
      <c r="I637" s="78"/>
      <c r="J637" s="78"/>
      <c r="K637" s="78"/>
      <c r="L637" s="79"/>
      <c r="M637" s="79"/>
      <c r="N637" s="80"/>
      <c r="O637" s="19"/>
      <c r="P637" s="20"/>
      <c r="Q637" s="21"/>
      <c r="R637" s="21"/>
      <c r="S637" s="21"/>
      <c r="T637" s="21"/>
      <c r="U637" s="21"/>
      <c r="V637" s="21"/>
      <c r="W637" s="21"/>
      <c r="X637" s="21"/>
      <c r="Y637" s="21"/>
      <c r="Z637" s="21"/>
    </row>
    <row r="638" spans="1:26">
      <c r="A638" s="76"/>
      <c r="B638" s="76"/>
      <c r="C638" s="77"/>
      <c r="D638" s="78"/>
      <c r="E638" s="78"/>
      <c r="F638" s="47">
        <f t="shared" si="129"/>
        <v>0</v>
      </c>
      <c r="G638" s="78"/>
      <c r="H638" s="78"/>
      <c r="I638" s="78"/>
      <c r="J638" s="78"/>
      <c r="K638" s="78"/>
      <c r="L638" s="79"/>
      <c r="M638" s="79"/>
      <c r="N638" s="80"/>
      <c r="O638" s="19"/>
      <c r="P638" s="20"/>
      <c r="Q638" s="21"/>
      <c r="R638" s="21"/>
      <c r="S638" s="21"/>
      <c r="T638" s="21"/>
      <c r="U638" s="21"/>
      <c r="V638" s="21"/>
      <c r="W638" s="21"/>
      <c r="X638" s="21"/>
      <c r="Y638" s="21"/>
      <c r="Z638" s="21"/>
    </row>
    <row r="639" spans="1:26">
      <c r="A639" s="76"/>
      <c r="B639" s="76"/>
      <c r="C639" s="77"/>
      <c r="D639" s="78"/>
      <c r="E639" s="78"/>
      <c r="F639" s="47">
        <f t="shared" si="129"/>
        <v>0</v>
      </c>
      <c r="G639" s="78"/>
      <c r="H639" s="78"/>
      <c r="I639" s="78"/>
      <c r="J639" s="78"/>
      <c r="K639" s="78"/>
      <c r="L639" s="79"/>
      <c r="M639" s="79"/>
      <c r="N639" s="80"/>
      <c r="O639" s="19"/>
      <c r="P639" s="20"/>
      <c r="Q639" s="21"/>
      <c r="R639" s="21"/>
      <c r="S639" s="21"/>
      <c r="T639" s="21"/>
      <c r="U639" s="21"/>
      <c r="V639" s="21"/>
      <c r="W639" s="21"/>
      <c r="X639" s="21"/>
      <c r="Y639" s="21"/>
      <c r="Z639" s="21"/>
    </row>
    <row r="640" spans="1:26">
      <c r="A640" s="76"/>
      <c r="B640" s="76"/>
      <c r="C640" s="77"/>
      <c r="D640" s="78"/>
      <c r="E640" s="78"/>
      <c r="F640" s="47">
        <f t="shared" si="129"/>
        <v>0</v>
      </c>
      <c r="G640" s="78"/>
      <c r="H640" s="78"/>
      <c r="I640" s="78"/>
      <c r="J640" s="78"/>
      <c r="K640" s="78"/>
      <c r="L640" s="79"/>
      <c r="M640" s="79"/>
      <c r="N640" s="80"/>
      <c r="O640" s="19"/>
      <c r="P640" s="20"/>
      <c r="Q640" s="21"/>
      <c r="R640" s="21"/>
      <c r="S640" s="21"/>
      <c r="T640" s="21"/>
      <c r="U640" s="21"/>
      <c r="V640" s="21"/>
      <c r="W640" s="21"/>
      <c r="X640" s="21"/>
      <c r="Y640" s="21"/>
      <c r="Z640" s="21"/>
    </row>
    <row r="641" spans="1:26">
      <c r="A641" s="76"/>
      <c r="B641" s="76"/>
      <c r="C641" s="77"/>
      <c r="D641" s="78"/>
      <c r="E641" s="78"/>
      <c r="F641" s="47">
        <f t="shared" si="129"/>
        <v>0</v>
      </c>
      <c r="G641" s="78"/>
      <c r="H641" s="78"/>
      <c r="I641" s="78"/>
      <c r="J641" s="78"/>
      <c r="K641" s="78"/>
      <c r="L641" s="79"/>
      <c r="M641" s="79"/>
      <c r="N641" s="80"/>
      <c r="O641" s="19"/>
      <c r="P641" s="20"/>
      <c r="Q641" s="21"/>
      <c r="R641" s="21"/>
      <c r="S641" s="21"/>
      <c r="T641" s="21"/>
      <c r="U641" s="21"/>
      <c r="V641" s="21"/>
      <c r="W641" s="21"/>
      <c r="X641" s="21"/>
      <c r="Y641" s="21"/>
      <c r="Z641" s="21"/>
    </row>
    <row r="642" spans="1:26">
      <c r="A642" s="76"/>
      <c r="B642" s="76"/>
      <c r="C642" s="77"/>
      <c r="D642" s="78"/>
      <c r="E642" s="78"/>
      <c r="F642" s="47">
        <f t="shared" si="129"/>
        <v>0</v>
      </c>
      <c r="G642" s="78"/>
      <c r="H642" s="78"/>
      <c r="I642" s="78"/>
      <c r="J642" s="78"/>
      <c r="K642" s="78"/>
      <c r="L642" s="79"/>
      <c r="M642" s="79"/>
      <c r="N642" s="80"/>
      <c r="O642" s="19"/>
      <c r="P642" s="20"/>
      <c r="Q642" s="21"/>
      <c r="R642" s="21"/>
      <c r="S642" s="21"/>
      <c r="T642" s="21"/>
      <c r="U642" s="21"/>
      <c r="V642" s="21"/>
      <c r="W642" s="21"/>
      <c r="X642" s="21"/>
      <c r="Y642" s="21"/>
      <c r="Z642" s="21"/>
    </row>
    <row r="643" spans="1:26">
      <c r="A643" s="76"/>
      <c r="B643" s="76"/>
      <c r="C643" s="77"/>
      <c r="D643" s="78"/>
      <c r="E643" s="78"/>
      <c r="F643" s="47">
        <f t="shared" si="129"/>
        <v>0</v>
      </c>
      <c r="G643" s="78"/>
      <c r="H643" s="78"/>
      <c r="I643" s="78"/>
      <c r="J643" s="78"/>
      <c r="K643" s="78"/>
      <c r="L643" s="79"/>
      <c r="M643" s="79"/>
      <c r="N643" s="80"/>
      <c r="O643" s="19"/>
      <c r="P643" s="20"/>
      <c r="Q643" s="21"/>
      <c r="R643" s="21"/>
      <c r="S643" s="21"/>
      <c r="T643" s="21"/>
      <c r="U643" s="21"/>
      <c r="V643" s="21"/>
      <c r="W643" s="21"/>
      <c r="X643" s="21"/>
      <c r="Y643" s="21"/>
      <c r="Z643" s="21"/>
    </row>
    <row r="644" spans="1:26">
      <c r="A644" s="76"/>
      <c r="B644" s="76"/>
      <c r="C644" s="77"/>
      <c r="D644" s="78"/>
      <c r="E644" s="78"/>
      <c r="F644" s="47">
        <f t="shared" si="129"/>
        <v>0</v>
      </c>
      <c r="G644" s="78"/>
      <c r="H644" s="78"/>
      <c r="I644" s="78"/>
      <c r="J644" s="78"/>
      <c r="K644" s="78"/>
      <c r="L644" s="79"/>
      <c r="M644" s="79"/>
      <c r="N644" s="80"/>
      <c r="O644" s="19"/>
      <c r="P644" s="20"/>
      <c r="Q644" s="21"/>
      <c r="R644" s="21"/>
      <c r="S644" s="21"/>
      <c r="T644" s="21"/>
      <c r="U644" s="21"/>
      <c r="V644" s="21"/>
      <c r="W644" s="21"/>
      <c r="X644" s="21"/>
      <c r="Y644" s="21"/>
      <c r="Z644" s="21"/>
    </row>
    <row r="645" spans="1:26">
      <c r="A645" s="76"/>
      <c r="B645" s="76"/>
      <c r="C645" s="77"/>
      <c r="D645" s="78"/>
      <c r="E645" s="78"/>
      <c r="F645" s="47">
        <f t="shared" si="129"/>
        <v>0</v>
      </c>
      <c r="G645" s="78"/>
      <c r="H645" s="78"/>
      <c r="I645" s="78"/>
      <c r="J645" s="78"/>
      <c r="K645" s="78"/>
      <c r="L645" s="79"/>
      <c r="M645" s="79"/>
      <c r="N645" s="80"/>
      <c r="O645" s="19"/>
      <c r="P645" s="20"/>
      <c r="Q645" s="21"/>
      <c r="R645" s="21"/>
      <c r="S645" s="21"/>
      <c r="T645" s="21"/>
      <c r="U645" s="21"/>
      <c r="V645" s="21"/>
      <c r="W645" s="21"/>
      <c r="X645" s="21"/>
      <c r="Y645" s="21"/>
      <c r="Z645" s="21"/>
    </row>
    <row r="646" spans="1:26">
      <c r="A646" s="76"/>
      <c r="B646" s="76"/>
      <c r="C646" s="77"/>
      <c r="D646" s="78"/>
      <c r="E646" s="78"/>
      <c r="F646" s="47">
        <f t="shared" si="129"/>
        <v>0</v>
      </c>
      <c r="G646" s="78"/>
      <c r="H646" s="78"/>
      <c r="I646" s="78"/>
      <c r="J646" s="78"/>
      <c r="K646" s="78"/>
      <c r="L646" s="79"/>
      <c r="M646" s="79"/>
      <c r="N646" s="80"/>
      <c r="O646" s="19"/>
      <c r="P646" s="20"/>
      <c r="Q646" s="21"/>
      <c r="R646" s="21"/>
      <c r="S646" s="21"/>
      <c r="T646" s="21"/>
      <c r="U646" s="21"/>
      <c r="V646" s="21"/>
      <c r="W646" s="21"/>
      <c r="X646" s="21"/>
      <c r="Y646" s="21"/>
      <c r="Z646" s="21"/>
    </row>
    <row r="647" spans="1:26">
      <c r="A647" s="76"/>
      <c r="B647" s="76"/>
      <c r="C647" s="77"/>
      <c r="D647" s="78"/>
      <c r="E647" s="78"/>
      <c r="F647" s="47">
        <f t="shared" si="129"/>
        <v>0</v>
      </c>
      <c r="G647" s="78"/>
      <c r="H647" s="78"/>
      <c r="I647" s="78"/>
      <c r="J647" s="78"/>
      <c r="K647" s="78"/>
      <c r="L647" s="79"/>
      <c r="M647" s="79"/>
      <c r="N647" s="80"/>
      <c r="O647" s="19"/>
      <c r="P647" s="20"/>
      <c r="Q647" s="21"/>
      <c r="R647" s="21"/>
      <c r="S647" s="21"/>
      <c r="T647" s="21"/>
      <c r="U647" s="21"/>
      <c r="V647" s="21"/>
      <c r="W647" s="21"/>
      <c r="X647" s="21"/>
      <c r="Y647" s="21"/>
      <c r="Z647" s="21"/>
    </row>
    <row r="648" spans="1:26">
      <c r="A648" s="76"/>
      <c r="B648" s="76"/>
      <c r="C648" s="77"/>
      <c r="D648" s="78"/>
      <c r="E648" s="78"/>
      <c r="F648" s="47">
        <f t="shared" si="129"/>
        <v>0</v>
      </c>
      <c r="G648" s="78"/>
      <c r="H648" s="78"/>
      <c r="I648" s="78"/>
      <c r="J648" s="78"/>
      <c r="K648" s="78"/>
      <c r="L648" s="79"/>
      <c r="M648" s="79"/>
      <c r="N648" s="80"/>
      <c r="O648" s="19"/>
      <c r="P648" s="20"/>
      <c r="Q648" s="21"/>
      <c r="R648" s="21"/>
      <c r="S648" s="21"/>
      <c r="T648" s="21"/>
      <c r="U648" s="21"/>
      <c r="V648" s="21"/>
      <c r="W648" s="21"/>
      <c r="X648" s="21"/>
      <c r="Y648" s="21"/>
      <c r="Z648" s="21"/>
    </row>
    <row r="649" spans="1:26">
      <c r="A649" s="76"/>
      <c r="B649" s="76"/>
      <c r="C649" s="77"/>
      <c r="D649" s="78"/>
      <c r="E649" s="78"/>
      <c r="F649" s="47">
        <f t="shared" si="129"/>
        <v>0</v>
      </c>
      <c r="G649" s="78"/>
      <c r="H649" s="78"/>
      <c r="I649" s="78"/>
      <c r="J649" s="78"/>
      <c r="K649" s="78"/>
      <c r="L649" s="79"/>
      <c r="M649" s="79"/>
      <c r="N649" s="80"/>
      <c r="O649" s="19"/>
      <c r="P649" s="20"/>
      <c r="Q649" s="21"/>
      <c r="R649" s="21"/>
      <c r="S649" s="21"/>
      <c r="T649" s="21"/>
      <c r="U649" s="21"/>
      <c r="V649" s="21"/>
      <c r="W649" s="21"/>
      <c r="X649" s="21"/>
      <c r="Y649" s="21"/>
      <c r="Z649" s="21"/>
    </row>
    <row r="650" spans="1:26">
      <c r="A650" s="76"/>
      <c r="B650" s="76"/>
      <c r="C650" s="77"/>
      <c r="D650" s="78"/>
      <c r="E650" s="78"/>
      <c r="F650" s="47">
        <f t="shared" ref="F650:F704" si="131">G649*$D$2*(C650-C649)/(DATE(YEAR(C650)+1,1,1)-DATE(YEAR(C650),1,1))/100</f>
        <v>0</v>
      </c>
      <c r="G650" s="78"/>
      <c r="H650" s="78"/>
      <c r="I650" s="78"/>
      <c r="J650" s="78"/>
      <c r="K650" s="78"/>
      <c r="L650" s="79"/>
      <c r="M650" s="79"/>
      <c r="N650" s="80"/>
      <c r="O650" s="19"/>
      <c r="P650" s="20"/>
      <c r="Q650" s="21"/>
      <c r="R650" s="21"/>
      <c r="S650" s="21"/>
      <c r="T650" s="21"/>
      <c r="U650" s="21"/>
      <c r="V650" s="21"/>
      <c r="W650" s="21"/>
      <c r="X650" s="21"/>
      <c r="Y650" s="21"/>
      <c r="Z650" s="21"/>
    </row>
    <row r="651" spans="1:26">
      <c r="A651" s="76"/>
      <c r="B651" s="76"/>
      <c r="C651" s="77"/>
      <c r="D651" s="78"/>
      <c r="E651" s="78"/>
      <c r="F651" s="47">
        <f t="shared" si="131"/>
        <v>0</v>
      </c>
      <c r="G651" s="78"/>
      <c r="H651" s="78"/>
      <c r="I651" s="78"/>
      <c r="J651" s="78"/>
      <c r="K651" s="78"/>
      <c r="L651" s="79"/>
      <c r="M651" s="79"/>
      <c r="N651" s="80"/>
      <c r="O651" s="19"/>
      <c r="P651" s="20"/>
      <c r="Q651" s="21"/>
      <c r="R651" s="21"/>
      <c r="S651" s="21"/>
      <c r="T651" s="21"/>
      <c r="U651" s="21"/>
      <c r="V651" s="21"/>
      <c r="W651" s="21"/>
      <c r="X651" s="21"/>
      <c r="Y651" s="21"/>
      <c r="Z651" s="21"/>
    </row>
    <row r="652" spans="1:26">
      <c r="A652" s="76"/>
      <c r="B652" s="76"/>
      <c r="C652" s="77"/>
      <c r="D652" s="78"/>
      <c r="E652" s="78"/>
      <c r="F652" s="47">
        <f t="shared" si="131"/>
        <v>0</v>
      </c>
      <c r="G652" s="78"/>
      <c r="H652" s="78"/>
      <c r="I652" s="78"/>
      <c r="J652" s="78"/>
      <c r="K652" s="78"/>
      <c r="L652" s="79"/>
      <c r="M652" s="79"/>
      <c r="N652" s="80"/>
      <c r="O652" s="19"/>
      <c r="P652" s="20"/>
      <c r="Q652" s="21"/>
      <c r="R652" s="21"/>
      <c r="S652" s="21"/>
      <c r="T652" s="21"/>
      <c r="U652" s="21"/>
      <c r="V652" s="21"/>
      <c r="W652" s="21"/>
      <c r="X652" s="21"/>
      <c r="Y652" s="21"/>
      <c r="Z652" s="21"/>
    </row>
    <row r="653" spans="1:26">
      <c r="A653" s="76"/>
      <c r="B653" s="76"/>
      <c r="C653" s="77"/>
      <c r="D653" s="78"/>
      <c r="E653" s="78"/>
      <c r="F653" s="47">
        <f t="shared" si="131"/>
        <v>0</v>
      </c>
      <c r="G653" s="78"/>
      <c r="H653" s="78"/>
      <c r="I653" s="78"/>
      <c r="J653" s="78"/>
      <c r="K653" s="78"/>
      <c r="L653" s="79"/>
      <c r="M653" s="79"/>
      <c r="N653" s="80"/>
      <c r="O653" s="19"/>
      <c r="P653" s="20"/>
      <c r="Q653" s="21"/>
      <c r="R653" s="21"/>
      <c r="S653" s="21"/>
      <c r="T653" s="21"/>
      <c r="U653" s="21"/>
      <c r="V653" s="21"/>
      <c r="W653" s="21"/>
      <c r="X653" s="21"/>
      <c r="Y653" s="21"/>
      <c r="Z653" s="21"/>
    </row>
    <row r="654" spans="1:26">
      <c r="A654" s="76"/>
      <c r="B654" s="76"/>
      <c r="C654" s="77"/>
      <c r="D654" s="78"/>
      <c r="E654" s="78"/>
      <c r="F654" s="47">
        <f t="shared" si="131"/>
        <v>0</v>
      </c>
      <c r="G654" s="78"/>
      <c r="H654" s="78"/>
      <c r="I654" s="78"/>
      <c r="J654" s="78"/>
      <c r="K654" s="78"/>
      <c r="L654" s="79"/>
      <c r="M654" s="79"/>
      <c r="N654" s="80"/>
      <c r="O654" s="19"/>
      <c r="P654" s="20"/>
      <c r="Q654" s="21"/>
      <c r="R654" s="21"/>
      <c r="S654" s="21"/>
      <c r="T654" s="21"/>
      <c r="U654" s="21"/>
      <c r="V654" s="21"/>
      <c r="W654" s="21"/>
      <c r="X654" s="21"/>
      <c r="Y654" s="21"/>
      <c r="Z654" s="21"/>
    </row>
    <row r="655" spans="1:26">
      <c r="A655" s="76"/>
      <c r="B655" s="76"/>
      <c r="C655" s="77"/>
      <c r="D655" s="78"/>
      <c r="E655" s="78"/>
      <c r="F655" s="47">
        <f t="shared" si="131"/>
        <v>0</v>
      </c>
      <c r="G655" s="78"/>
      <c r="H655" s="78"/>
      <c r="I655" s="78"/>
      <c r="J655" s="78"/>
      <c r="K655" s="78"/>
      <c r="L655" s="79"/>
      <c r="M655" s="79"/>
      <c r="N655" s="80"/>
      <c r="O655" s="19"/>
      <c r="P655" s="20"/>
      <c r="Q655" s="21"/>
      <c r="R655" s="21"/>
      <c r="S655" s="21"/>
      <c r="T655" s="21"/>
      <c r="U655" s="21"/>
      <c r="V655" s="21"/>
      <c r="W655" s="21"/>
      <c r="X655" s="21"/>
      <c r="Y655" s="21"/>
      <c r="Z655" s="21"/>
    </row>
    <row r="656" spans="1:26">
      <c r="A656" s="76"/>
      <c r="B656" s="76"/>
      <c r="C656" s="77"/>
      <c r="D656" s="78"/>
      <c r="E656" s="78"/>
      <c r="F656" s="47">
        <f t="shared" si="131"/>
        <v>0</v>
      </c>
      <c r="G656" s="78"/>
      <c r="H656" s="78"/>
      <c r="I656" s="78"/>
      <c r="J656" s="78"/>
      <c r="K656" s="78"/>
      <c r="L656" s="79"/>
      <c r="M656" s="79"/>
      <c r="N656" s="80"/>
      <c r="O656" s="19"/>
      <c r="P656" s="20"/>
      <c r="Q656" s="21"/>
      <c r="R656" s="21"/>
      <c r="S656" s="21"/>
      <c r="T656" s="21"/>
      <c r="U656" s="21"/>
      <c r="V656" s="21"/>
      <c r="W656" s="21"/>
      <c r="X656" s="21"/>
      <c r="Y656" s="21"/>
      <c r="Z656" s="21"/>
    </row>
    <row r="657" spans="1:26">
      <c r="A657" s="76"/>
      <c r="B657" s="76"/>
      <c r="C657" s="77"/>
      <c r="D657" s="78"/>
      <c r="E657" s="78"/>
      <c r="F657" s="47">
        <f t="shared" si="131"/>
        <v>0</v>
      </c>
      <c r="G657" s="78"/>
      <c r="H657" s="78"/>
      <c r="I657" s="78"/>
      <c r="J657" s="78"/>
      <c r="K657" s="78"/>
      <c r="L657" s="79"/>
      <c r="M657" s="79"/>
      <c r="N657" s="80"/>
      <c r="O657" s="19"/>
      <c r="P657" s="20"/>
      <c r="Q657" s="21"/>
      <c r="R657" s="21"/>
      <c r="S657" s="21"/>
      <c r="T657" s="21"/>
      <c r="U657" s="21"/>
      <c r="V657" s="21"/>
      <c r="W657" s="21"/>
      <c r="X657" s="21"/>
      <c r="Y657" s="21"/>
      <c r="Z657" s="21"/>
    </row>
    <row r="658" spans="1:26">
      <c r="A658" s="76"/>
      <c r="B658" s="76"/>
      <c r="C658" s="77"/>
      <c r="D658" s="78"/>
      <c r="E658" s="78"/>
      <c r="F658" s="47">
        <f t="shared" si="131"/>
        <v>0</v>
      </c>
      <c r="G658" s="78"/>
      <c r="H658" s="78"/>
      <c r="I658" s="78"/>
      <c r="J658" s="78"/>
      <c r="K658" s="78"/>
      <c r="L658" s="79"/>
      <c r="M658" s="79"/>
      <c r="N658" s="80"/>
      <c r="O658" s="19"/>
      <c r="P658" s="20"/>
      <c r="Q658" s="21"/>
      <c r="R658" s="21"/>
      <c r="S658" s="21"/>
      <c r="T658" s="21"/>
      <c r="U658" s="21"/>
      <c r="V658" s="21"/>
      <c r="W658" s="21"/>
      <c r="X658" s="21"/>
      <c r="Y658" s="21"/>
      <c r="Z658" s="21"/>
    </row>
    <row r="659" spans="1:26">
      <c r="A659" s="76"/>
      <c r="B659" s="76"/>
      <c r="C659" s="77"/>
      <c r="D659" s="78"/>
      <c r="E659" s="78"/>
      <c r="F659" s="47">
        <f t="shared" si="131"/>
        <v>0</v>
      </c>
      <c r="G659" s="78"/>
      <c r="H659" s="78"/>
      <c r="I659" s="78"/>
      <c r="J659" s="78"/>
      <c r="K659" s="78"/>
      <c r="L659" s="79"/>
      <c r="M659" s="79"/>
      <c r="N659" s="80"/>
      <c r="O659" s="19"/>
      <c r="P659" s="20"/>
      <c r="Q659" s="21"/>
      <c r="R659" s="21"/>
      <c r="S659" s="21"/>
      <c r="T659" s="21"/>
      <c r="U659" s="21"/>
      <c r="V659" s="21"/>
      <c r="W659" s="21"/>
      <c r="X659" s="21"/>
      <c r="Y659" s="21"/>
      <c r="Z659" s="21"/>
    </row>
    <row r="660" spans="1:26">
      <c r="A660" s="76"/>
      <c r="B660" s="76"/>
      <c r="C660" s="77"/>
      <c r="D660" s="78"/>
      <c r="E660" s="78"/>
      <c r="F660" s="47">
        <f t="shared" si="131"/>
        <v>0</v>
      </c>
      <c r="G660" s="78"/>
      <c r="H660" s="78"/>
      <c r="I660" s="78"/>
      <c r="J660" s="78"/>
      <c r="K660" s="78"/>
      <c r="L660" s="79"/>
      <c r="M660" s="79"/>
      <c r="N660" s="80"/>
      <c r="O660" s="19"/>
      <c r="P660" s="20"/>
      <c r="Q660" s="21"/>
      <c r="R660" s="21"/>
      <c r="S660" s="21"/>
      <c r="T660" s="21"/>
      <c r="U660" s="21"/>
      <c r="V660" s="21"/>
      <c r="W660" s="21"/>
      <c r="X660" s="21"/>
      <c r="Y660" s="21"/>
      <c r="Z660" s="21"/>
    </row>
    <row r="661" spans="1:26">
      <c r="A661" s="76"/>
      <c r="B661" s="76"/>
      <c r="C661" s="77"/>
      <c r="D661" s="78"/>
      <c r="E661" s="78"/>
      <c r="F661" s="47">
        <f t="shared" si="131"/>
        <v>0</v>
      </c>
      <c r="G661" s="78"/>
      <c r="H661" s="78"/>
      <c r="I661" s="78"/>
      <c r="J661" s="78"/>
      <c r="K661" s="78"/>
      <c r="L661" s="79"/>
      <c r="M661" s="79"/>
      <c r="N661" s="80"/>
      <c r="O661" s="19"/>
      <c r="P661" s="20"/>
      <c r="Q661" s="21"/>
      <c r="R661" s="21"/>
      <c r="S661" s="21"/>
      <c r="T661" s="21"/>
      <c r="U661" s="21"/>
      <c r="V661" s="21"/>
      <c r="W661" s="21"/>
      <c r="X661" s="21"/>
      <c r="Y661" s="21"/>
      <c r="Z661" s="21"/>
    </row>
    <row r="662" spans="1:26">
      <c r="A662" s="76"/>
      <c r="B662" s="76"/>
      <c r="C662" s="77"/>
      <c r="D662" s="78"/>
      <c r="E662" s="78"/>
      <c r="F662" s="47">
        <f t="shared" si="131"/>
        <v>0</v>
      </c>
      <c r="G662" s="78"/>
      <c r="H662" s="78"/>
      <c r="I662" s="78"/>
      <c r="J662" s="78"/>
      <c r="K662" s="78"/>
      <c r="L662" s="79"/>
      <c r="M662" s="79"/>
      <c r="N662" s="80"/>
      <c r="O662" s="19"/>
      <c r="P662" s="20"/>
      <c r="Q662" s="21"/>
      <c r="R662" s="21"/>
      <c r="S662" s="21"/>
      <c r="T662" s="21"/>
      <c r="U662" s="21"/>
      <c r="V662" s="21"/>
      <c r="W662" s="21"/>
      <c r="X662" s="21"/>
      <c r="Y662" s="21"/>
      <c r="Z662" s="21"/>
    </row>
    <row r="663" spans="1:26">
      <c r="A663" s="76"/>
      <c r="B663" s="76"/>
      <c r="C663" s="77"/>
      <c r="D663" s="78"/>
      <c r="E663" s="78"/>
      <c r="F663" s="47">
        <f t="shared" si="131"/>
        <v>0</v>
      </c>
      <c r="G663" s="78"/>
      <c r="H663" s="78"/>
      <c r="I663" s="78"/>
      <c r="J663" s="78"/>
      <c r="K663" s="78"/>
      <c r="L663" s="79"/>
      <c r="M663" s="79"/>
      <c r="N663" s="80"/>
      <c r="O663" s="19"/>
      <c r="P663" s="20"/>
      <c r="Q663" s="21"/>
      <c r="R663" s="21"/>
      <c r="S663" s="21"/>
      <c r="T663" s="21"/>
      <c r="U663" s="21"/>
      <c r="V663" s="21"/>
      <c r="W663" s="21"/>
      <c r="X663" s="21"/>
      <c r="Y663" s="21"/>
      <c r="Z663" s="21"/>
    </row>
    <row r="664" spans="1:26">
      <c r="A664" s="76"/>
      <c r="B664" s="76"/>
      <c r="C664" s="77"/>
      <c r="D664" s="78"/>
      <c r="E664" s="78"/>
      <c r="F664" s="47">
        <f t="shared" si="131"/>
        <v>0</v>
      </c>
      <c r="G664" s="78"/>
      <c r="H664" s="78"/>
      <c r="I664" s="78"/>
      <c r="J664" s="78"/>
      <c r="K664" s="78"/>
      <c r="L664" s="79"/>
      <c r="M664" s="79"/>
      <c r="N664" s="80"/>
      <c r="O664" s="19"/>
      <c r="P664" s="20"/>
      <c r="Q664" s="21"/>
      <c r="R664" s="21"/>
      <c r="S664" s="21"/>
      <c r="T664" s="21"/>
      <c r="U664" s="21"/>
      <c r="V664" s="21"/>
      <c r="W664" s="21"/>
      <c r="X664" s="21"/>
      <c r="Y664" s="21"/>
      <c r="Z664" s="21"/>
    </row>
    <row r="665" spans="1:26">
      <c r="A665" s="76"/>
      <c r="B665" s="76"/>
      <c r="C665" s="77"/>
      <c r="D665" s="78"/>
      <c r="E665" s="78"/>
      <c r="F665" s="47">
        <f t="shared" si="131"/>
        <v>0</v>
      </c>
      <c r="G665" s="78"/>
      <c r="H665" s="78"/>
      <c r="I665" s="78"/>
      <c r="J665" s="78"/>
      <c r="K665" s="78"/>
      <c r="L665" s="79"/>
      <c r="M665" s="79"/>
      <c r="N665" s="80"/>
      <c r="O665" s="19"/>
      <c r="P665" s="20"/>
      <c r="Q665" s="21"/>
      <c r="R665" s="21"/>
      <c r="S665" s="21"/>
      <c r="T665" s="21"/>
      <c r="U665" s="21"/>
      <c r="V665" s="21"/>
      <c r="W665" s="21"/>
      <c r="X665" s="21"/>
      <c r="Y665" s="21"/>
      <c r="Z665" s="21"/>
    </row>
    <row r="666" spans="1:26">
      <c r="A666" s="76"/>
      <c r="B666" s="76"/>
      <c r="C666" s="77"/>
      <c r="D666" s="78"/>
      <c r="E666" s="78"/>
      <c r="F666" s="47">
        <f t="shared" si="131"/>
        <v>0</v>
      </c>
      <c r="G666" s="78"/>
      <c r="H666" s="78"/>
      <c r="I666" s="78"/>
      <c r="J666" s="78"/>
      <c r="K666" s="78"/>
      <c r="L666" s="79"/>
      <c r="M666" s="79"/>
      <c r="N666" s="80"/>
      <c r="O666" s="19"/>
      <c r="P666" s="20"/>
      <c r="Q666" s="21"/>
      <c r="R666" s="21"/>
      <c r="S666" s="21"/>
      <c r="T666" s="21"/>
      <c r="U666" s="21"/>
      <c r="V666" s="21"/>
      <c r="W666" s="21"/>
      <c r="X666" s="21"/>
      <c r="Y666" s="21"/>
      <c r="Z666" s="21"/>
    </row>
    <row r="667" spans="1:26">
      <c r="A667" s="76"/>
      <c r="B667" s="76"/>
      <c r="C667" s="77"/>
      <c r="D667" s="78"/>
      <c r="E667" s="78"/>
      <c r="F667" s="47">
        <f t="shared" si="131"/>
        <v>0</v>
      </c>
      <c r="G667" s="78"/>
      <c r="H667" s="78"/>
      <c r="I667" s="78"/>
      <c r="J667" s="78"/>
      <c r="K667" s="78"/>
      <c r="L667" s="79"/>
      <c r="M667" s="79"/>
      <c r="N667" s="80"/>
      <c r="O667" s="19"/>
      <c r="P667" s="20"/>
      <c r="Q667" s="21"/>
      <c r="R667" s="21"/>
      <c r="S667" s="21"/>
      <c r="T667" s="21"/>
      <c r="U667" s="21"/>
      <c r="V667" s="21"/>
      <c r="W667" s="21"/>
      <c r="X667" s="21"/>
      <c r="Y667" s="21"/>
      <c r="Z667" s="21"/>
    </row>
    <row r="668" spans="1:26">
      <c r="A668" s="76"/>
      <c r="B668" s="76"/>
      <c r="C668" s="77"/>
      <c r="D668" s="78"/>
      <c r="E668" s="78"/>
      <c r="F668" s="47">
        <f t="shared" si="131"/>
        <v>0</v>
      </c>
      <c r="G668" s="78"/>
      <c r="H668" s="78"/>
      <c r="I668" s="78"/>
      <c r="J668" s="78"/>
      <c r="K668" s="78"/>
      <c r="L668" s="79"/>
      <c r="M668" s="79"/>
      <c r="N668" s="80"/>
      <c r="O668" s="19"/>
      <c r="P668" s="20"/>
      <c r="Q668" s="21"/>
      <c r="R668" s="21"/>
      <c r="S668" s="21"/>
      <c r="T668" s="21"/>
      <c r="U668" s="21"/>
      <c r="V668" s="21"/>
      <c r="W668" s="21"/>
      <c r="X668" s="21"/>
      <c r="Y668" s="21"/>
      <c r="Z668" s="21"/>
    </row>
    <row r="669" spans="1:26">
      <c r="A669" s="76"/>
      <c r="B669" s="76"/>
      <c r="C669" s="77"/>
      <c r="D669" s="78"/>
      <c r="E669" s="78"/>
      <c r="F669" s="47">
        <f t="shared" si="131"/>
        <v>0</v>
      </c>
      <c r="G669" s="78"/>
      <c r="H669" s="78"/>
      <c r="I669" s="78"/>
      <c r="J669" s="78"/>
      <c r="K669" s="78"/>
      <c r="L669" s="79"/>
      <c r="M669" s="79"/>
      <c r="N669" s="80"/>
      <c r="O669" s="19"/>
      <c r="P669" s="20"/>
      <c r="Q669" s="21"/>
      <c r="R669" s="21"/>
      <c r="S669" s="21"/>
      <c r="T669" s="21"/>
      <c r="U669" s="21"/>
      <c r="V669" s="21"/>
      <c r="W669" s="21"/>
      <c r="X669" s="21"/>
      <c r="Y669" s="21"/>
      <c r="Z669" s="21"/>
    </row>
    <row r="670" spans="1:26">
      <c r="A670" s="76"/>
      <c r="B670" s="76"/>
      <c r="C670" s="77"/>
      <c r="D670" s="78"/>
      <c r="E670" s="78"/>
      <c r="F670" s="47">
        <f t="shared" si="131"/>
        <v>0</v>
      </c>
      <c r="G670" s="78"/>
      <c r="H670" s="78"/>
      <c r="I670" s="78"/>
      <c r="J670" s="78"/>
      <c r="K670" s="78"/>
      <c r="L670" s="79"/>
      <c r="M670" s="79"/>
      <c r="N670" s="80"/>
      <c r="O670" s="19"/>
      <c r="P670" s="20"/>
      <c r="Q670" s="21"/>
      <c r="R670" s="21"/>
      <c r="S670" s="21"/>
      <c r="T670" s="21"/>
      <c r="U670" s="21"/>
      <c r="V670" s="21"/>
      <c r="W670" s="21"/>
      <c r="X670" s="21"/>
      <c r="Y670" s="21"/>
      <c r="Z670" s="21"/>
    </row>
    <row r="671" spans="1:26">
      <c r="A671" s="76"/>
      <c r="B671" s="76"/>
      <c r="C671" s="77"/>
      <c r="D671" s="78"/>
      <c r="E671" s="78"/>
      <c r="F671" s="47">
        <f t="shared" si="131"/>
        <v>0</v>
      </c>
      <c r="G671" s="78"/>
      <c r="H671" s="78"/>
      <c r="I671" s="78"/>
      <c r="J671" s="78"/>
      <c r="K671" s="78"/>
      <c r="L671" s="79"/>
      <c r="M671" s="79"/>
      <c r="N671" s="80"/>
      <c r="O671" s="19"/>
      <c r="P671" s="20"/>
      <c r="Q671" s="21"/>
      <c r="R671" s="21"/>
      <c r="S671" s="21"/>
      <c r="T671" s="21"/>
      <c r="U671" s="21"/>
      <c r="V671" s="21"/>
      <c r="W671" s="21"/>
      <c r="X671" s="21"/>
      <c r="Y671" s="21"/>
      <c r="Z671" s="21"/>
    </row>
    <row r="672" spans="1:26">
      <c r="A672" s="76"/>
      <c r="B672" s="76"/>
      <c r="C672" s="77"/>
      <c r="D672" s="78"/>
      <c r="E672" s="78"/>
      <c r="F672" s="47">
        <f t="shared" si="131"/>
        <v>0</v>
      </c>
      <c r="G672" s="78"/>
      <c r="H672" s="78"/>
      <c r="I672" s="78"/>
      <c r="J672" s="78"/>
      <c r="K672" s="78"/>
      <c r="L672" s="79"/>
      <c r="M672" s="79"/>
      <c r="N672" s="80"/>
      <c r="O672" s="19"/>
      <c r="P672" s="20"/>
      <c r="Q672" s="21"/>
      <c r="R672" s="21"/>
      <c r="S672" s="21"/>
      <c r="T672" s="21"/>
      <c r="U672" s="21"/>
      <c r="V672" s="21"/>
      <c r="W672" s="21"/>
      <c r="X672" s="21"/>
      <c r="Y672" s="21"/>
      <c r="Z672" s="21"/>
    </row>
    <row r="673" spans="1:26">
      <c r="A673" s="76"/>
      <c r="B673" s="76"/>
      <c r="C673" s="77"/>
      <c r="D673" s="78"/>
      <c r="E673" s="78"/>
      <c r="F673" s="47">
        <f t="shared" si="131"/>
        <v>0</v>
      </c>
      <c r="G673" s="78"/>
      <c r="H673" s="78"/>
      <c r="I673" s="78"/>
      <c r="J673" s="78"/>
      <c r="K673" s="78"/>
      <c r="L673" s="79"/>
      <c r="M673" s="79"/>
      <c r="N673" s="80"/>
      <c r="O673" s="19"/>
      <c r="P673" s="20"/>
      <c r="Q673" s="21"/>
      <c r="R673" s="21"/>
      <c r="S673" s="21"/>
      <c r="T673" s="21"/>
      <c r="U673" s="21"/>
      <c r="V673" s="21"/>
      <c r="W673" s="21"/>
      <c r="X673" s="21"/>
      <c r="Y673" s="21"/>
      <c r="Z673" s="21"/>
    </row>
    <row r="674" spans="1:26">
      <c r="A674" s="76"/>
      <c r="B674" s="76"/>
      <c r="C674" s="77"/>
      <c r="D674" s="78"/>
      <c r="E674" s="78"/>
      <c r="F674" s="47">
        <f t="shared" si="131"/>
        <v>0</v>
      </c>
      <c r="G674" s="78"/>
      <c r="H674" s="78"/>
      <c r="I674" s="78"/>
      <c r="J674" s="78"/>
      <c r="K674" s="78"/>
      <c r="L674" s="79"/>
      <c r="M674" s="79"/>
      <c r="N674" s="80"/>
      <c r="O674" s="19"/>
      <c r="P674" s="20"/>
      <c r="Q674" s="21"/>
      <c r="R674" s="21"/>
      <c r="S674" s="21"/>
      <c r="T674" s="21"/>
      <c r="U674" s="21"/>
      <c r="V674" s="21"/>
      <c r="W674" s="21"/>
      <c r="X674" s="21"/>
      <c r="Y674" s="21"/>
      <c r="Z674" s="21"/>
    </row>
    <row r="675" spans="1:26">
      <c r="A675" s="76"/>
      <c r="B675" s="76"/>
      <c r="C675" s="77"/>
      <c r="D675" s="78"/>
      <c r="E675" s="78"/>
      <c r="F675" s="47">
        <f t="shared" si="131"/>
        <v>0</v>
      </c>
      <c r="G675" s="78"/>
      <c r="H675" s="78"/>
      <c r="I675" s="78"/>
      <c r="J675" s="78"/>
      <c r="K675" s="78"/>
      <c r="L675" s="79"/>
      <c r="M675" s="79"/>
      <c r="N675" s="80"/>
      <c r="O675" s="19"/>
      <c r="P675" s="20"/>
      <c r="Q675" s="21"/>
      <c r="R675" s="21"/>
      <c r="S675" s="21"/>
      <c r="T675" s="21"/>
      <c r="U675" s="21"/>
      <c r="V675" s="21"/>
      <c r="W675" s="21"/>
      <c r="X675" s="21"/>
      <c r="Y675" s="21"/>
      <c r="Z675" s="21"/>
    </row>
    <row r="676" spans="1:26">
      <c r="A676" s="76"/>
      <c r="B676" s="76"/>
      <c r="C676" s="77"/>
      <c r="D676" s="78"/>
      <c r="E676" s="78"/>
      <c r="F676" s="47">
        <f t="shared" si="131"/>
        <v>0</v>
      </c>
      <c r="G676" s="78"/>
      <c r="H676" s="78"/>
      <c r="I676" s="78"/>
      <c r="J676" s="78"/>
      <c r="K676" s="78"/>
      <c r="L676" s="79"/>
      <c r="M676" s="79"/>
      <c r="N676" s="80"/>
      <c r="O676" s="19"/>
      <c r="P676" s="20"/>
      <c r="Q676" s="21"/>
      <c r="R676" s="21"/>
      <c r="S676" s="21"/>
      <c r="T676" s="21"/>
      <c r="U676" s="21"/>
      <c r="V676" s="21"/>
      <c r="W676" s="21"/>
      <c r="X676" s="21"/>
      <c r="Y676" s="21"/>
      <c r="Z676" s="21"/>
    </row>
    <row r="677" spans="1:26">
      <c r="A677" s="76"/>
      <c r="B677" s="76"/>
      <c r="C677" s="77"/>
      <c r="D677" s="78"/>
      <c r="E677" s="78"/>
      <c r="F677" s="47">
        <f t="shared" si="131"/>
        <v>0</v>
      </c>
      <c r="G677" s="78"/>
      <c r="H677" s="78"/>
      <c r="I677" s="78"/>
      <c r="J677" s="78"/>
      <c r="K677" s="78"/>
      <c r="L677" s="79"/>
      <c r="M677" s="79"/>
      <c r="N677" s="80"/>
      <c r="O677" s="19"/>
      <c r="P677" s="20"/>
      <c r="Q677" s="21"/>
      <c r="R677" s="21"/>
      <c r="S677" s="21"/>
      <c r="T677" s="21"/>
      <c r="U677" s="21"/>
      <c r="V677" s="21"/>
      <c r="W677" s="21"/>
      <c r="X677" s="21"/>
      <c r="Y677" s="21"/>
      <c r="Z677" s="21"/>
    </row>
    <row r="678" spans="1:26">
      <c r="A678" s="76"/>
      <c r="B678" s="76"/>
      <c r="C678" s="77"/>
      <c r="D678" s="78"/>
      <c r="E678" s="78"/>
      <c r="F678" s="47">
        <f t="shared" si="131"/>
        <v>0</v>
      </c>
      <c r="G678" s="78"/>
      <c r="H678" s="78"/>
      <c r="I678" s="78"/>
      <c r="J678" s="78"/>
      <c r="K678" s="78"/>
      <c r="L678" s="79"/>
      <c r="M678" s="79"/>
      <c r="N678" s="80"/>
      <c r="O678" s="19"/>
      <c r="P678" s="20"/>
      <c r="Q678" s="21"/>
      <c r="R678" s="21"/>
      <c r="S678" s="21"/>
      <c r="T678" s="21"/>
      <c r="U678" s="21"/>
      <c r="V678" s="21"/>
      <c r="W678" s="21"/>
      <c r="X678" s="21"/>
      <c r="Y678" s="21"/>
      <c r="Z678" s="21"/>
    </row>
    <row r="679" spans="1:26">
      <c r="A679" s="76"/>
      <c r="B679" s="76"/>
      <c r="C679" s="77"/>
      <c r="D679" s="78"/>
      <c r="E679" s="78"/>
      <c r="F679" s="47">
        <f t="shared" si="131"/>
        <v>0</v>
      </c>
      <c r="G679" s="78"/>
      <c r="H679" s="78"/>
      <c r="I679" s="78"/>
      <c r="J679" s="78"/>
      <c r="K679" s="78"/>
      <c r="L679" s="79"/>
      <c r="M679" s="79"/>
      <c r="N679" s="80"/>
      <c r="O679" s="19"/>
      <c r="P679" s="20"/>
      <c r="Q679" s="21"/>
      <c r="R679" s="21"/>
      <c r="S679" s="21"/>
      <c r="T679" s="21"/>
      <c r="U679" s="21"/>
      <c r="V679" s="21"/>
      <c r="W679" s="21"/>
      <c r="X679" s="21"/>
      <c r="Y679" s="21"/>
      <c r="Z679" s="21"/>
    </row>
    <row r="680" spans="1:26">
      <c r="A680" s="76"/>
      <c r="B680" s="76"/>
      <c r="C680" s="77"/>
      <c r="D680" s="78"/>
      <c r="E680" s="78"/>
      <c r="F680" s="47">
        <f t="shared" si="131"/>
        <v>0</v>
      </c>
      <c r="G680" s="78"/>
      <c r="H680" s="78"/>
      <c r="I680" s="78"/>
      <c r="J680" s="78"/>
      <c r="K680" s="78"/>
      <c r="L680" s="79"/>
      <c r="M680" s="79"/>
      <c r="N680" s="80"/>
      <c r="O680" s="19"/>
      <c r="P680" s="20"/>
      <c r="Q680" s="21"/>
      <c r="R680" s="21"/>
      <c r="S680" s="21"/>
      <c r="T680" s="21"/>
      <c r="U680" s="21"/>
      <c r="V680" s="21"/>
      <c r="W680" s="21"/>
      <c r="X680" s="21"/>
      <c r="Y680" s="21"/>
      <c r="Z680" s="21"/>
    </row>
    <row r="681" spans="1:26">
      <c r="A681" s="76"/>
      <c r="B681" s="76"/>
      <c r="C681" s="77"/>
      <c r="D681" s="78"/>
      <c r="E681" s="78"/>
      <c r="F681" s="47">
        <f t="shared" si="131"/>
        <v>0</v>
      </c>
      <c r="G681" s="78"/>
      <c r="H681" s="78"/>
      <c r="I681" s="78"/>
      <c r="J681" s="78"/>
      <c r="K681" s="78"/>
      <c r="L681" s="79"/>
      <c r="M681" s="79"/>
      <c r="N681" s="80"/>
      <c r="O681" s="19"/>
      <c r="P681" s="20"/>
      <c r="Q681" s="21"/>
      <c r="R681" s="21"/>
      <c r="S681" s="21"/>
      <c r="T681" s="21"/>
      <c r="U681" s="21"/>
      <c r="V681" s="21"/>
      <c r="W681" s="21"/>
      <c r="X681" s="21"/>
      <c r="Y681" s="21"/>
      <c r="Z681" s="21"/>
    </row>
    <row r="682" spans="1:26">
      <c r="A682" s="76"/>
      <c r="B682" s="76"/>
      <c r="C682" s="77"/>
      <c r="D682" s="78"/>
      <c r="E682" s="78"/>
      <c r="F682" s="47">
        <f t="shared" si="131"/>
        <v>0</v>
      </c>
      <c r="G682" s="78"/>
      <c r="H682" s="78"/>
      <c r="I682" s="78"/>
      <c r="J682" s="78"/>
      <c r="K682" s="78"/>
      <c r="L682" s="79"/>
      <c r="M682" s="79"/>
      <c r="N682" s="80"/>
      <c r="O682" s="19"/>
      <c r="P682" s="20"/>
      <c r="Q682" s="21"/>
      <c r="R682" s="21"/>
      <c r="S682" s="21"/>
      <c r="T682" s="21"/>
      <c r="U682" s="21"/>
      <c r="V682" s="21"/>
      <c r="W682" s="21"/>
      <c r="X682" s="21"/>
      <c r="Y682" s="21"/>
      <c r="Z682" s="21"/>
    </row>
    <row r="683" spans="1:26">
      <c r="A683" s="76"/>
      <c r="B683" s="76"/>
      <c r="C683" s="77"/>
      <c r="D683" s="78"/>
      <c r="E683" s="78"/>
      <c r="F683" s="47">
        <f t="shared" si="131"/>
        <v>0</v>
      </c>
      <c r="G683" s="78"/>
      <c r="H683" s="78"/>
      <c r="I683" s="78"/>
      <c r="J683" s="78"/>
      <c r="K683" s="78"/>
      <c r="L683" s="79"/>
      <c r="M683" s="79"/>
      <c r="N683" s="80"/>
      <c r="O683" s="19"/>
      <c r="P683" s="20"/>
      <c r="Q683" s="21"/>
      <c r="R683" s="21"/>
      <c r="S683" s="21"/>
      <c r="T683" s="21"/>
      <c r="U683" s="21"/>
      <c r="V683" s="21"/>
      <c r="W683" s="21"/>
      <c r="X683" s="21"/>
      <c r="Y683" s="21"/>
      <c r="Z683" s="21"/>
    </row>
    <row r="684" spans="1:26">
      <c r="A684" s="76"/>
      <c r="B684" s="76"/>
      <c r="C684" s="77"/>
      <c r="D684" s="78"/>
      <c r="E684" s="78"/>
      <c r="F684" s="47">
        <f t="shared" si="131"/>
        <v>0</v>
      </c>
      <c r="G684" s="78"/>
      <c r="H684" s="78"/>
      <c r="I684" s="78"/>
      <c r="J684" s="78"/>
      <c r="K684" s="78"/>
      <c r="L684" s="79"/>
      <c r="M684" s="79"/>
      <c r="N684" s="80"/>
      <c r="O684" s="19"/>
      <c r="P684" s="20"/>
      <c r="Q684" s="21"/>
      <c r="R684" s="21"/>
      <c r="S684" s="21"/>
      <c r="T684" s="21"/>
      <c r="U684" s="21"/>
      <c r="V684" s="21"/>
      <c r="W684" s="21"/>
      <c r="X684" s="21"/>
      <c r="Y684" s="21"/>
      <c r="Z684" s="21"/>
    </row>
    <row r="685" spans="1:26">
      <c r="A685" s="76"/>
      <c r="B685" s="76"/>
      <c r="C685" s="77"/>
      <c r="D685" s="78"/>
      <c r="E685" s="78"/>
      <c r="F685" s="47">
        <f t="shared" si="131"/>
        <v>0</v>
      </c>
      <c r="G685" s="78"/>
      <c r="H685" s="78"/>
      <c r="I685" s="78"/>
      <c r="J685" s="78"/>
      <c r="K685" s="78"/>
      <c r="L685" s="79"/>
      <c r="M685" s="79"/>
      <c r="N685" s="80"/>
      <c r="O685" s="19"/>
      <c r="P685" s="20"/>
      <c r="Q685" s="21"/>
      <c r="R685" s="21"/>
      <c r="S685" s="21"/>
      <c r="T685" s="21"/>
      <c r="U685" s="21"/>
      <c r="V685" s="21"/>
      <c r="W685" s="21"/>
      <c r="X685" s="21"/>
      <c r="Y685" s="21"/>
      <c r="Z685" s="21"/>
    </row>
    <row r="686" spans="1:26">
      <c r="A686" s="76"/>
      <c r="B686" s="76"/>
      <c r="C686" s="77"/>
      <c r="D686" s="78"/>
      <c r="E686" s="78"/>
      <c r="F686" s="47">
        <f t="shared" si="131"/>
        <v>0</v>
      </c>
      <c r="G686" s="78"/>
      <c r="H686" s="78"/>
      <c r="I686" s="78"/>
      <c r="J686" s="78"/>
      <c r="K686" s="78"/>
      <c r="L686" s="79"/>
      <c r="M686" s="79"/>
      <c r="N686" s="80"/>
      <c r="O686" s="19"/>
      <c r="P686" s="20"/>
      <c r="Q686" s="21"/>
      <c r="R686" s="21"/>
      <c r="S686" s="21"/>
      <c r="T686" s="21"/>
      <c r="U686" s="21"/>
      <c r="V686" s="21"/>
      <c r="W686" s="21"/>
      <c r="X686" s="21"/>
      <c r="Y686" s="21"/>
      <c r="Z686" s="21"/>
    </row>
    <row r="687" spans="1:26">
      <c r="A687" s="76"/>
      <c r="B687" s="76"/>
      <c r="C687" s="77"/>
      <c r="D687" s="78"/>
      <c r="E687" s="78"/>
      <c r="F687" s="47">
        <f t="shared" si="131"/>
        <v>0</v>
      </c>
      <c r="G687" s="78"/>
      <c r="H687" s="78"/>
      <c r="I687" s="78"/>
      <c r="J687" s="78"/>
      <c r="K687" s="78"/>
      <c r="L687" s="79"/>
      <c r="M687" s="79"/>
      <c r="N687" s="80"/>
      <c r="O687" s="19"/>
      <c r="P687" s="20"/>
      <c r="Q687" s="21"/>
      <c r="R687" s="21"/>
      <c r="S687" s="21"/>
      <c r="T687" s="21"/>
      <c r="U687" s="21"/>
      <c r="V687" s="21"/>
      <c r="W687" s="21"/>
      <c r="X687" s="21"/>
      <c r="Y687" s="21"/>
      <c r="Z687" s="21"/>
    </row>
    <row r="688" spans="1:26">
      <c r="A688" s="76"/>
      <c r="B688" s="76"/>
      <c r="C688" s="77"/>
      <c r="D688" s="78"/>
      <c r="E688" s="78"/>
      <c r="F688" s="47">
        <f t="shared" si="131"/>
        <v>0</v>
      </c>
      <c r="G688" s="78"/>
      <c r="H688" s="78"/>
      <c r="I688" s="78"/>
      <c r="J688" s="78"/>
      <c r="K688" s="78"/>
      <c r="L688" s="79"/>
      <c r="M688" s="79"/>
      <c r="N688" s="80"/>
      <c r="O688" s="19"/>
      <c r="P688" s="20"/>
      <c r="Q688" s="21"/>
      <c r="R688" s="21"/>
      <c r="S688" s="21"/>
      <c r="T688" s="21"/>
      <c r="U688" s="21"/>
      <c r="V688" s="21"/>
      <c r="W688" s="21"/>
      <c r="X688" s="21"/>
      <c r="Y688" s="21"/>
      <c r="Z688" s="21"/>
    </row>
    <row r="689" spans="1:26">
      <c r="A689" s="76"/>
      <c r="B689" s="76"/>
      <c r="C689" s="77"/>
      <c r="D689" s="78"/>
      <c r="E689" s="78"/>
      <c r="F689" s="47">
        <f t="shared" si="131"/>
        <v>0</v>
      </c>
      <c r="G689" s="78"/>
      <c r="H689" s="78"/>
      <c r="I689" s="78"/>
      <c r="J689" s="78"/>
      <c r="K689" s="78"/>
      <c r="L689" s="79"/>
      <c r="M689" s="79"/>
      <c r="N689" s="80"/>
      <c r="O689" s="19"/>
      <c r="P689" s="20"/>
      <c r="Q689" s="21"/>
      <c r="R689" s="21"/>
      <c r="S689" s="21"/>
      <c r="T689" s="21"/>
      <c r="U689" s="21"/>
      <c r="V689" s="21"/>
      <c r="W689" s="21"/>
      <c r="X689" s="21"/>
      <c r="Y689" s="21"/>
      <c r="Z689" s="21"/>
    </row>
    <row r="690" spans="1:26">
      <c r="A690" s="76"/>
      <c r="B690" s="76"/>
      <c r="C690" s="77"/>
      <c r="D690" s="78"/>
      <c r="E690" s="78"/>
      <c r="F690" s="47">
        <f t="shared" si="131"/>
        <v>0</v>
      </c>
      <c r="G690" s="78"/>
      <c r="H690" s="78"/>
      <c r="I690" s="78"/>
      <c r="J690" s="78"/>
      <c r="K690" s="78"/>
      <c r="L690" s="79"/>
      <c r="M690" s="79"/>
      <c r="N690" s="80"/>
      <c r="O690" s="19"/>
      <c r="P690" s="20"/>
      <c r="Q690" s="21"/>
      <c r="R690" s="21"/>
      <c r="S690" s="21"/>
      <c r="T690" s="21"/>
      <c r="U690" s="21"/>
      <c r="V690" s="21"/>
      <c r="W690" s="21"/>
      <c r="X690" s="21"/>
      <c r="Y690" s="21"/>
      <c r="Z690" s="21"/>
    </row>
    <row r="691" spans="1:26">
      <c r="A691" s="76"/>
      <c r="B691" s="76"/>
      <c r="C691" s="77"/>
      <c r="D691" s="78"/>
      <c r="E691" s="78"/>
      <c r="F691" s="47">
        <f t="shared" si="131"/>
        <v>0</v>
      </c>
      <c r="G691" s="78"/>
      <c r="H691" s="78"/>
      <c r="I691" s="78"/>
      <c r="J691" s="78"/>
      <c r="K691" s="78"/>
      <c r="L691" s="79"/>
      <c r="M691" s="79"/>
      <c r="N691" s="80"/>
      <c r="O691" s="19"/>
      <c r="P691" s="20"/>
      <c r="Q691" s="21"/>
      <c r="R691" s="21"/>
      <c r="S691" s="21"/>
      <c r="T691" s="21"/>
      <c r="U691" s="21"/>
      <c r="V691" s="21"/>
      <c r="W691" s="21"/>
      <c r="X691" s="21"/>
      <c r="Y691" s="21"/>
      <c r="Z691" s="21"/>
    </row>
    <row r="692" spans="1:26">
      <c r="A692" s="76"/>
      <c r="B692" s="76"/>
      <c r="C692" s="77"/>
      <c r="D692" s="78"/>
      <c r="E692" s="78"/>
      <c r="F692" s="47">
        <f t="shared" si="131"/>
        <v>0</v>
      </c>
      <c r="G692" s="78"/>
      <c r="H692" s="78"/>
      <c r="I692" s="78"/>
      <c r="J692" s="78"/>
      <c r="K692" s="78"/>
      <c r="L692" s="79"/>
      <c r="M692" s="79"/>
      <c r="N692" s="80"/>
      <c r="O692" s="19"/>
      <c r="P692" s="20"/>
      <c r="Q692" s="21"/>
      <c r="R692" s="21"/>
      <c r="S692" s="21"/>
      <c r="T692" s="21"/>
      <c r="U692" s="21"/>
      <c r="V692" s="21"/>
      <c r="W692" s="21"/>
      <c r="X692" s="21"/>
      <c r="Y692" s="21"/>
      <c r="Z692" s="21"/>
    </row>
    <row r="693" spans="1:26">
      <c r="A693" s="76"/>
      <c r="B693" s="76"/>
      <c r="C693" s="77"/>
      <c r="D693" s="78"/>
      <c r="E693" s="78"/>
      <c r="F693" s="47">
        <f t="shared" si="131"/>
        <v>0</v>
      </c>
      <c r="G693" s="78"/>
      <c r="H693" s="78"/>
      <c r="I693" s="78"/>
      <c r="J693" s="78"/>
      <c r="K693" s="78"/>
      <c r="L693" s="79"/>
      <c r="M693" s="79"/>
      <c r="N693" s="80"/>
      <c r="O693" s="19"/>
      <c r="P693" s="20"/>
      <c r="Q693" s="21"/>
      <c r="R693" s="21"/>
      <c r="S693" s="21"/>
      <c r="T693" s="21"/>
      <c r="U693" s="21"/>
      <c r="V693" s="21"/>
      <c r="W693" s="21"/>
      <c r="X693" s="21"/>
      <c r="Y693" s="21"/>
      <c r="Z693" s="21"/>
    </row>
    <row r="694" spans="1:26">
      <c r="A694" s="76"/>
      <c r="B694" s="76"/>
      <c r="C694" s="77"/>
      <c r="D694" s="78"/>
      <c r="E694" s="78"/>
      <c r="F694" s="47">
        <f t="shared" si="131"/>
        <v>0</v>
      </c>
      <c r="G694" s="78"/>
      <c r="H694" s="78"/>
      <c r="I694" s="78"/>
      <c r="J694" s="78"/>
      <c r="K694" s="78"/>
      <c r="L694" s="79"/>
      <c r="M694" s="79"/>
      <c r="N694" s="80"/>
      <c r="O694" s="19"/>
      <c r="P694" s="20"/>
      <c r="Q694" s="21"/>
      <c r="R694" s="21"/>
      <c r="S694" s="21"/>
      <c r="T694" s="21"/>
      <c r="U694" s="21"/>
      <c r="V694" s="21"/>
      <c r="W694" s="21"/>
      <c r="X694" s="21"/>
      <c r="Y694" s="21"/>
      <c r="Z694" s="21"/>
    </row>
    <row r="695" spans="1:26">
      <c r="A695" s="76"/>
      <c r="B695" s="76"/>
      <c r="C695" s="77"/>
      <c r="D695" s="78"/>
      <c r="E695" s="78"/>
      <c r="F695" s="47">
        <f t="shared" si="131"/>
        <v>0</v>
      </c>
      <c r="G695" s="78"/>
      <c r="H695" s="78"/>
      <c r="I695" s="78"/>
      <c r="J695" s="78"/>
      <c r="K695" s="78"/>
      <c r="L695" s="79"/>
      <c r="M695" s="79"/>
      <c r="N695" s="80"/>
      <c r="O695" s="19"/>
      <c r="P695" s="20"/>
      <c r="Q695" s="21"/>
      <c r="R695" s="21"/>
      <c r="S695" s="21"/>
      <c r="T695" s="21"/>
      <c r="U695" s="21"/>
      <c r="V695" s="21"/>
      <c r="W695" s="21"/>
      <c r="X695" s="21"/>
      <c r="Y695" s="21"/>
      <c r="Z695" s="21"/>
    </row>
    <row r="696" spans="1:26">
      <c r="A696" s="76"/>
      <c r="B696" s="76"/>
      <c r="C696" s="77"/>
      <c r="D696" s="78"/>
      <c r="E696" s="78"/>
      <c r="F696" s="47">
        <f t="shared" si="131"/>
        <v>0</v>
      </c>
      <c r="G696" s="78"/>
      <c r="H696" s="78"/>
      <c r="I696" s="78"/>
      <c r="J696" s="78"/>
      <c r="K696" s="78"/>
      <c r="L696" s="79"/>
      <c r="M696" s="79"/>
      <c r="N696" s="80"/>
      <c r="O696" s="19"/>
      <c r="P696" s="20"/>
      <c r="Q696" s="21"/>
      <c r="R696" s="21"/>
      <c r="S696" s="21"/>
      <c r="T696" s="21"/>
      <c r="U696" s="21"/>
      <c r="V696" s="21"/>
      <c r="W696" s="21"/>
      <c r="X696" s="21"/>
      <c r="Y696" s="21"/>
      <c r="Z696" s="21"/>
    </row>
    <row r="697" spans="1:26">
      <c r="A697" s="76"/>
      <c r="B697" s="76"/>
      <c r="C697" s="77"/>
      <c r="D697" s="78"/>
      <c r="E697" s="78"/>
      <c r="F697" s="47">
        <f t="shared" si="131"/>
        <v>0</v>
      </c>
      <c r="G697" s="78"/>
      <c r="H697" s="78"/>
      <c r="I697" s="78"/>
      <c r="J697" s="78"/>
      <c r="K697" s="78"/>
      <c r="L697" s="79"/>
      <c r="M697" s="79"/>
      <c r="N697" s="80"/>
      <c r="O697" s="19"/>
      <c r="P697" s="20"/>
      <c r="Q697" s="21"/>
      <c r="R697" s="21"/>
      <c r="S697" s="21"/>
      <c r="T697" s="21"/>
      <c r="U697" s="21"/>
      <c r="V697" s="21"/>
      <c r="W697" s="21"/>
      <c r="X697" s="21"/>
      <c r="Y697" s="21"/>
      <c r="Z697" s="21"/>
    </row>
    <row r="698" spans="1:26">
      <c r="A698" s="76"/>
      <c r="B698" s="76"/>
      <c r="C698" s="77"/>
      <c r="D698" s="78"/>
      <c r="E698" s="78"/>
      <c r="F698" s="47">
        <f t="shared" si="131"/>
        <v>0</v>
      </c>
      <c r="G698" s="78"/>
      <c r="H698" s="78"/>
      <c r="I698" s="78"/>
      <c r="J698" s="78"/>
      <c r="K698" s="78"/>
      <c r="L698" s="79"/>
      <c r="M698" s="79"/>
      <c r="N698" s="80"/>
      <c r="O698" s="19"/>
      <c r="P698" s="20"/>
      <c r="Q698" s="21"/>
      <c r="R698" s="21"/>
      <c r="S698" s="21"/>
      <c r="T698" s="21"/>
      <c r="U698" s="21"/>
      <c r="V698" s="21"/>
      <c r="W698" s="21"/>
      <c r="X698" s="21"/>
      <c r="Y698" s="21"/>
      <c r="Z698" s="21"/>
    </row>
    <row r="699" spans="1:26">
      <c r="A699" s="76"/>
      <c r="B699" s="76"/>
      <c r="C699" s="77"/>
      <c r="D699" s="78"/>
      <c r="E699" s="78"/>
      <c r="F699" s="47">
        <f t="shared" si="131"/>
        <v>0</v>
      </c>
      <c r="G699" s="78"/>
      <c r="H699" s="78"/>
      <c r="I699" s="78"/>
      <c r="J699" s="78"/>
      <c r="K699" s="78"/>
      <c r="L699" s="79"/>
      <c r="M699" s="79"/>
      <c r="N699" s="80"/>
      <c r="O699" s="19"/>
      <c r="P699" s="20"/>
      <c r="Q699" s="21"/>
      <c r="R699" s="21"/>
      <c r="S699" s="21"/>
      <c r="T699" s="21"/>
      <c r="U699" s="21"/>
      <c r="V699" s="21"/>
      <c r="W699" s="21"/>
      <c r="X699" s="21"/>
      <c r="Y699" s="21"/>
      <c r="Z699" s="21"/>
    </row>
    <row r="700" spans="1:26">
      <c r="A700" s="76"/>
      <c r="B700" s="76"/>
      <c r="C700" s="77"/>
      <c r="D700" s="78"/>
      <c r="E700" s="78"/>
      <c r="F700" s="47">
        <f t="shared" si="131"/>
        <v>0</v>
      </c>
      <c r="G700" s="78"/>
      <c r="H700" s="78"/>
      <c r="I700" s="78"/>
      <c r="J700" s="78"/>
      <c r="K700" s="78"/>
      <c r="L700" s="79"/>
      <c r="M700" s="79"/>
      <c r="N700" s="80"/>
      <c r="O700" s="19"/>
      <c r="P700" s="20"/>
      <c r="Q700" s="21"/>
      <c r="R700" s="21"/>
      <c r="S700" s="21"/>
      <c r="T700" s="21"/>
      <c r="U700" s="21"/>
      <c r="V700" s="21"/>
      <c r="W700" s="21"/>
      <c r="X700" s="21"/>
      <c r="Y700" s="21"/>
      <c r="Z700" s="21"/>
    </row>
    <row r="701" spans="1:26">
      <c r="A701" s="76"/>
      <c r="B701" s="76"/>
      <c r="C701" s="77"/>
      <c r="D701" s="78"/>
      <c r="E701" s="78"/>
      <c r="F701" s="47">
        <f t="shared" si="131"/>
        <v>0</v>
      </c>
      <c r="G701" s="78"/>
      <c r="H701" s="78"/>
      <c r="I701" s="78"/>
      <c r="J701" s="78"/>
      <c r="K701" s="78"/>
      <c r="L701" s="79"/>
      <c r="M701" s="79"/>
      <c r="N701" s="80"/>
      <c r="O701" s="19"/>
      <c r="P701" s="20"/>
      <c r="Q701" s="21"/>
      <c r="R701" s="21"/>
      <c r="S701" s="21"/>
      <c r="T701" s="21"/>
      <c r="U701" s="21"/>
      <c r="V701" s="21"/>
      <c r="W701" s="21"/>
      <c r="X701" s="21"/>
      <c r="Y701" s="21"/>
      <c r="Z701" s="21"/>
    </row>
    <row r="702" spans="1:26">
      <c r="A702" s="76"/>
      <c r="B702" s="76"/>
      <c r="C702" s="77"/>
      <c r="D702" s="78"/>
      <c r="E702" s="78"/>
      <c r="F702" s="47">
        <f t="shared" si="131"/>
        <v>0</v>
      </c>
      <c r="G702" s="78"/>
      <c r="H702" s="78"/>
      <c r="I702" s="78"/>
      <c r="J702" s="78"/>
      <c r="K702" s="78"/>
      <c r="L702" s="79"/>
      <c r="M702" s="79"/>
      <c r="N702" s="80"/>
      <c r="O702" s="19"/>
      <c r="P702" s="20"/>
      <c r="Q702" s="21"/>
      <c r="R702" s="21"/>
      <c r="S702" s="21"/>
      <c r="T702" s="21"/>
      <c r="U702" s="21"/>
      <c r="V702" s="21"/>
      <c r="W702" s="21"/>
      <c r="X702" s="21"/>
      <c r="Y702" s="21"/>
      <c r="Z702" s="21"/>
    </row>
    <row r="703" spans="1:26">
      <c r="A703" s="76"/>
      <c r="B703" s="76"/>
      <c r="C703" s="77"/>
      <c r="D703" s="78"/>
      <c r="E703" s="78"/>
      <c r="F703" s="47">
        <f t="shared" si="131"/>
        <v>0</v>
      </c>
      <c r="G703" s="78"/>
      <c r="H703" s="78"/>
      <c r="I703" s="78"/>
      <c r="J703" s="78"/>
      <c r="K703" s="78"/>
      <c r="L703" s="79"/>
      <c r="M703" s="79"/>
      <c r="N703" s="80"/>
      <c r="O703" s="19"/>
      <c r="P703" s="20"/>
      <c r="Q703" s="21"/>
      <c r="R703" s="21"/>
      <c r="S703" s="21"/>
      <c r="T703" s="21"/>
      <c r="U703" s="21"/>
      <c r="V703" s="21"/>
      <c r="W703" s="21"/>
      <c r="X703" s="21"/>
      <c r="Y703" s="21"/>
      <c r="Z703" s="21"/>
    </row>
    <row r="704" spans="1:26">
      <c r="A704" s="76"/>
      <c r="B704" s="76"/>
      <c r="C704" s="77"/>
      <c r="D704" s="78"/>
      <c r="E704" s="78"/>
      <c r="F704" s="47">
        <f t="shared" si="131"/>
        <v>0</v>
      </c>
      <c r="G704" s="78"/>
      <c r="H704" s="78"/>
      <c r="I704" s="78"/>
      <c r="J704" s="78"/>
      <c r="K704" s="78"/>
      <c r="L704" s="79"/>
      <c r="M704" s="79"/>
      <c r="N704" s="80"/>
      <c r="O704" s="19"/>
      <c r="P704" s="20"/>
      <c r="Q704" s="21"/>
      <c r="R704" s="21"/>
      <c r="S704" s="21"/>
      <c r="T704" s="21"/>
      <c r="U704" s="21"/>
      <c r="V704" s="21"/>
      <c r="W704" s="21"/>
      <c r="X704" s="21"/>
      <c r="Y704" s="21"/>
      <c r="Z704" s="21"/>
    </row>
  </sheetData>
  <sheetProtection sheet="1" objects="1" scenarios="1" selectLockedCells="1" selectUnlockedCells="1"/>
  <mergeCells count="10">
    <mergeCell ref="D5:G5"/>
    <mergeCell ref="H5:K5"/>
    <mergeCell ref="L5:M5"/>
    <mergeCell ref="A1:C1"/>
    <mergeCell ref="A2:C2"/>
    <mergeCell ref="A3:C3"/>
    <mergeCell ref="A4:C4"/>
    <mergeCell ref="A5:A6"/>
    <mergeCell ref="B5:B6"/>
    <mergeCell ref="C5:C6"/>
  </mergeCells>
  <conditionalFormatting sqref="K2 A8:E607 F8:F704 G33:N607 G8:K32 N8:N32">
    <cfRule type="expression" dxfId="0" priority="1" stopIfTrue="1">
      <formula>IF($D2+$H2=0,1,0)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Лист13"/>
  <dimension ref="A3:BE106"/>
  <sheetViews>
    <sheetView topLeftCell="A58" workbookViewId="0">
      <selection activeCell="M75" sqref="M75"/>
    </sheetView>
  </sheetViews>
  <sheetFormatPr defaultRowHeight="15"/>
  <cols>
    <col min="1" max="4" width="9.140625" style="90"/>
    <col min="5" max="5" width="11.5703125" style="90" bestFit="1" customWidth="1"/>
    <col min="6" max="6" width="9.85546875" style="90" bestFit="1" customWidth="1"/>
    <col min="7" max="13" width="9.140625" style="90"/>
    <col min="14" max="14" width="11.5703125" style="90" bestFit="1" customWidth="1"/>
    <col min="15" max="15" width="14.85546875" style="90" customWidth="1"/>
    <col min="16" max="16" width="18.140625" style="90" customWidth="1"/>
    <col min="17" max="17" width="14.42578125" style="90" customWidth="1"/>
    <col min="18" max="18" width="12.85546875" style="90" customWidth="1"/>
    <col min="19" max="19" width="17.5703125" style="90" customWidth="1"/>
    <col min="20" max="25" width="12.28515625" style="90" bestFit="1" customWidth="1"/>
    <col min="26" max="26" width="10" style="90" bestFit="1" customWidth="1"/>
    <col min="27" max="27" width="9" style="90" bestFit="1" customWidth="1"/>
    <col min="28" max="32" width="10" style="90" bestFit="1" customWidth="1"/>
    <col min="33" max="33" width="11.140625" style="90" bestFit="1" customWidth="1"/>
    <col min="34" max="57" width="10" style="90" bestFit="1" customWidth="1"/>
    <col min="58" max="16384" width="9.140625" style="90"/>
  </cols>
  <sheetData>
    <row r="3" spans="1:57">
      <c r="C3" s="95">
        <v>0.01</v>
      </c>
      <c r="F3" s="96">
        <v>0.02</v>
      </c>
    </row>
    <row r="6" spans="1:57">
      <c r="A6" s="96">
        <v>0.74</v>
      </c>
      <c r="B6" s="96">
        <f>A6+2%</f>
        <v>0.76</v>
      </c>
      <c r="C6" s="96">
        <f>B6+3%</f>
        <v>0.79</v>
      </c>
      <c r="D6" s="96">
        <f>C6+4%</f>
        <v>0.83000000000000007</v>
      </c>
      <c r="E6" s="96">
        <f>D6+2%</f>
        <v>0.85000000000000009</v>
      </c>
      <c r="F6" s="96">
        <f>E6+3%</f>
        <v>0.88000000000000012</v>
      </c>
      <c r="G6" s="96">
        <f>F6+4%</f>
        <v>0.92000000000000015</v>
      </c>
      <c r="H6" s="96">
        <f>G6+2%</f>
        <v>0.94000000000000017</v>
      </c>
      <c r="I6" s="96">
        <f>H6+3%</f>
        <v>0.9700000000000002</v>
      </c>
      <c r="J6" s="96">
        <f>I6+4%</f>
        <v>1.0100000000000002</v>
      </c>
      <c r="K6" s="96">
        <f>J6+2%</f>
        <v>1.0300000000000002</v>
      </c>
      <c r="L6" s="96">
        <f>K6+3%</f>
        <v>1.0600000000000003</v>
      </c>
      <c r="M6" s="96">
        <f>L6+4%</f>
        <v>1.1000000000000003</v>
      </c>
      <c r="N6" s="96">
        <f>M6+2%</f>
        <v>1.1200000000000003</v>
      </c>
      <c r="O6" s="96">
        <f>N6+2%+$C$3</f>
        <v>1.1500000000000004</v>
      </c>
      <c r="P6" s="96">
        <f>O6+2%</f>
        <v>1.1700000000000004</v>
      </c>
      <c r="Q6" s="96">
        <f>P6+2%</f>
        <v>1.1900000000000004</v>
      </c>
      <c r="R6" s="96">
        <f t="shared" ref="R6:Y6" si="0">S6-1%</f>
        <v>0.90999999999999992</v>
      </c>
      <c r="S6" s="96">
        <f t="shared" si="0"/>
        <v>0.91999999999999993</v>
      </c>
      <c r="T6" s="96">
        <f t="shared" si="0"/>
        <v>0.92999999999999994</v>
      </c>
      <c r="U6" s="96">
        <f t="shared" si="0"/>
        <v>0.94</v>
      </c>
      <c r="V6" s="96">
        <f t="shared" si="0"/>
        <v>0.95</v>
      </c>
      <c r="W6" s="96">
        <f t="shared" si="0"/>
        <v>0.96</v>
      </c>
      <c r="X6" s="96">
        <f t="shared" si="0"/>
        <v>0.97</v>
      </c>
      <c r="Y6" s="96">
        <f t="shared" si="0"/>
        <v>0.98</v>
      </c>
      <c r="Z6" s="96">
        <f>AA6-1%</f>
        <v>0.99</v>
      </c>
      <c r="AA6" s="96">
        <v>1</v>
      </c>
      <c r="AB6" s="96">
        <f>AA6+1%</f>
        <v>1.01</v>
      </c>
      <c r="AC6" s="96">
        <f t="shared" ref="AC6:AR8" si="1">AB6+1%</f>
        <v>1.02</v>
      </c>
      <c r="AD6" s="96">
        <f t="shared" si="1"/>
        <v>1.03</v>
      </c>
      <c r="AE6" s="96">
        <f t="shared" si="1"/>
        <v>1.04</v>
      </c>
      <c r="AF6" s="96">
        <f t="shared" si="1"/>
        <v>1.05</v>
      </c>
      <c r="AG6" s="96">
        <f t="shared" si="1"/>
        <v>1.06</v>
      </c>
      <c r="AH6" s="96"/>
      <c r="AI6" s="96"/>
      <c r="AJ6" s="96"/>
      <c r="AK6" s="96"/>
      <c r="AL6" s="96"/>
      <c r="AM6" s="96">
        <f t="shared" si="1"/>
        <v>0.01</v>
      </c>
      <c r="AN6" s="96">
        <f t="shared" si="1"/>
        <v>0.02</v>
      </c>
      <c r="AO6" s="96">
        <f t="shared" si="1"/>
        <v>0.03</v>
      </c>
      <c r="AP6" s="96">
        <f t="shared" si="1"/>
        <v>0.04</v>
      </c>
      <c r="AQ6" s="96">
        <f t="shared" si="1"/>
        <v>0.05</v>
      </c>
      <c r="AR6" s="96">
        <f t="shared" si="1"/>
        <v>6.0000000000000005E-2</v>
      </c>
      <c r="AS6" s="96">
        <f t="shared" ref="AS6:BE8" si="2">AR6+1%</f>
        <v>7.0000000000000007E-2</v>
      </c>
      <c r="AT6" s="96">
        <f t="shared" si="2"/>
        <v>0.08</v>
      </c>
      <c r="AU6" s="96">
        <f t="shared" si="2"/>
        <v>0.09</v>
      </c>
      <c r="AV6" s="96">
        <f t="shared" si="2"/>
        <v>9.9999999999999992E-2</v>
      </c>
      <c r="AW6" s="96">
        <f t="shared" si="2"/>
        <v>0.10999999999999999</v>
      </c>
      <c r="AX6" s="96">
        <f t="shared" si="2"/>
        <v>0.11999999999999998</v>
      </c>
      <c r="AY6" s="96">
        <f t="shared" si="2"/>
        <v>0.12999999999999998</v>
      </c>
      <c r="AZ6" s="96">
        <f t="shared" si="2"/>
        <v>0.13999999999999999</v>
      </c>
      <c r="BA6" s="96">
        <f t="shared" si="2"/>
        <v>0.15</v>
      </c>
      <c r="BB6" s="96">
        <f t="shared" si="2"/>
        <v>0.16</v>
      </c>
      <c r="BC6" s="96">
        <f t="shared" si="2"/>
        <v>0.17</v>
      </c>
      <c r="BD6" s="96">
        <f t="shared" si="2"/>
        <v>0.18000000000000002</v>
      </c>
      <c r="BE6" s="96">
        <f t="shared" si="2"/>
        <v>0.19000000000000003</v>
      </c>
    </row>
    <row r="7" spans="1:57">
      <c r="A7" s="96">
        <f t="shared" ref="A7:P8" si="3">B7-1%</f>
        <v>0.73999999999999977</v>
      </c>
      <c r="B7" s="96">
        <f t="shared" si="3"/>
        <v>0.74999999999999978</v>
      </c>
      <c r="C7" s="96">
        <f t="shared" si="3"/>
        <v>0.75999999999999979</v>
      </c>
      <c r="D7" s="96">
        <f t="shared" si="3"/>
        <v>0.7699999999999998</v>
      </c>
      <c r="E7" s="96">
        <f t="shared" si="3"/>
        <v>0.7799999999999998</v>
      </c>
      <c r="F7" s="96">
        <f t="shared" si="3"/>
        <v>0.78999999999999981</v>
      </c>
      <c r="G7" s="96">
        <f t="shared" si="3"/>
        <v>0.79999999999999982</v>
      </c>
      <c r="H7" s="96">
        <f t="shared" si="3"/>
        <v>0.80999999999999983</v>
      </c>
      <c r="I7" s="96">
        <f t="shared" si="3"/>
        <v>0.81999999999999984</v>
      </c>
      <c r="J7" s="96">
        <f t="shared" si="3"/>
        <v>0.82999999999999985</v>
      </c>
      <c r="K7" s="96">
        <f t="shared" si="3"/>
        <v>0.83999999999999986</v>
      </c>
      <c r="L7" s="96">
        <f t="shared" si="3"/>
        <v>0.84999999999999987</v>
      </c>
      <c r="M7" s="96">
        <f t="shared" si="3"/>
        <v>0.85999999999999988</v>
      </c>
      <c r="N7" s="96">
        <f t="shared" si="3"/>
        <v>0.86999999999999988</v>
      </c>
      <c r="O7" s="96">
        <f t="shared" si="3"/>
        <v>0.87999999999999989</v>
      </c>
      <c r="P7" s="96">
        <f t="shared" si="3"/>
        <v>0.8899999999999999</v>
      </c>
      <c r="Q7" s="96">
        <f t="shared" ref="Q7:Y8" si="4">R7-1%</f>
        <v>0.89999999999999991</v>
      </c>
      <c r="R7" s="96">
        <f t="shared" si="4"/>
        <v>0.90999999999999992</v>
      </c>
      <c r="S7" s="96">
        <f t="shared" si="4"/>
        <v>0.91999999999999993</v>
      </c>
      <c r="T7" s="96">
        <f t="shared" si="4"/>
        <v>0.92999999999999994</v>
      </c>
      <c r="U7" s="96">
        <f t="shared" si="4"/>
        <v>0.94</v>
      </c>
      <c r="V7" s="96">
        <f t="shared" si="4"/>
        <v>0.95</v>
      </c>
      <c r="W7" s="96">
        <f t="shared" si="4"/>
        <v>0.96</v>
      </c>
      <c r="X7" s="96">
        <f t="shared" si="4"/>
        <v>0.97</v>
      </c>
      <c r="Y7" s="96">
        <f t="shared" si="4"/>
        <v>0.98</v>
      </c>
      <c r="Z7" s="96">
        <f>AA7-1%</f>
        <v>0.99</v>
      </c>
      <c r="AA7" s="96">
        <v>1</v>
      </c>
      <c r="AB7" s="96">
        <f>AA7+1%</f>
        <v>1.01</v>
      </c>
      <c r="AC7" s="96">
        <f t="shared" si="1"/>
        <v>1.02</v>
      </c>
      <c r="AD7" s="96">
        <f t="shared" si="1"/>
        <v>1.03</v>
      </c>
      <c r="AE7" s="96">
        <f t="shared" si="1"/>
        <v>1.04</v>
      </c>
      <c r="AF7" s="96">
        <f t="shared" si="1"/>
        <v>1.05</v>
      </c>
      <c r="AG7" s="96">
        <f t="shared" si="1"/>
        <v>1.06</v>
      </c>
      <c r="AH7" s="96"/>
      <c r="AI7" s="96"/>
      <c r="AJ7" s="96"/>
      <c r="AK7" s="96"/>
      <c r="AL7" s="96"/>
      <c r="AM7" s="96">
        <f t="shared" si="1"/>
        <v>0.01</v>
      </c>
      <c r="AN7" s="96">
        <f t="shared" si="1"/>
        <v>0.02</v>
      </c>
      <c r="AO7" s="96">
        <f t="shared" si="1"/>
        <v>0.03</v>
      </c>
      <c r="AP7" s="96">
        <f t="shared" si="1"/>
        <v>0.04</v>
      </c>
      <c r="AQ7" s="96">
        <f t="shared" si="1"/>
        <v>0.05</v>
      </c>
      <c r="AR7" s="96">
        <f t="shared" si="1"/>
        <v>6.0000000000000005E-2</v>
      </c>
      <c r="AS7" s="96">
        <f t="shared" si="2"/>
        <v>7.0000000000000007E-2</v>
      </c>
      <c r="AT7" s="96">
        <f t="shared" si="2"/>
        <v>0.08</v>
      </c>
      <c r="AU7" s="96">
        <f t="shared" si="2"/>
        <v>0.09</v>
      </c>
      <c r="AV7" s="96">
        <f t="shared" si="2"/>
        <v>9.9999999999999992E-2</v>
      </c>
      <c r="AW7" s="96">
        <f t="shared" si="2"/>
        <v>0.10999999999999999</v>
      </c>
      <c r="AX7" s="96">
        <f t="shared" si="2"/>
        <v>0.11999999999999998</v>
      </c>
      <c r="AY7" s="96">
        <f t="shared" si="2"/>
        <v>0.12999999999999998</v>
      </c>
      <c r="AZ7" s="96">
        <f t="shared" si="2"/>
        <v>0.13999999999999999</v>
      </c>
      <c r="BA7" s="96">
        <f t="shared" si="2"/>
        <v>0.15</v>
      </c>
      <c r="BB7" s="96">
        <f t="shared" si="2"/>
        <v>0.16</v>
      </c>
      <c r="BC7" s="96">
        <f t="shared" si="2"/>
        <v>0.17</v>
      </c>
      <c r="BD7" s="96">
        <f t="shared" si="2"/>
        <v>0.18000000000000002</v>
      </c>
      <c r="BE7" s="96">
        <f t="shared" si="2"/>
        <v>0.19000000000000003</v>
      </c>
    </row>
    <row r="8" spans="1:57">
      <c r="A8" s="96">
        <f t="shared" si="3"/>
        <v>0.73999999999999977</v>
      </c>
      <c r="B8" s="96">
        <f t="shared" si="3"/>
        <v>0.74999999999999978</v>
      </c>
      <c r="C8" s="96">
        <f t="shared" si="3"/>
        <v>0.75999999999999979</v>
      </c>
      <c r="D8" s="96">
        <f t="shared" si="3"/>
        <v>0.7699999999999998</v>
      </c>
      <c r="E8" s="96">
        <f t="shared" si="3"/>
        <v>0.7799999999999998</v>
      </c>
      <c r="F8" s="96">
        <f t="shared" si="3"/>
        <v>0.78999999999999981</v>
      </c>
      <c r="G8" s="96">
        <f t="shared" si="3"/>
        <v>0.79999999999999982</v>
      </c>
      <c r="H8" s="96">
        <f t="shared" si="3"/>
        <v>0.80999999999999983</v>
      </c>
      <c r="I8" s="96">
        <f t="shared" si="3"/>
        <v>0.81999999999999984</v>
      </c>
      <c r="J8" s="96">
        <f t="shared" si="3"/>
        <v>0.82999999999999985</v>
      </c>
      <c r="K8" s="96">
        <f t="shared" si="3"/>
        <v>0.83999999999999986</v>
      </c>
      <c r="L8" s="96">
        <f t="shared" si="3"/>
        <v>0.84999999999999987</v>
      </c>
      <c r="M8" s="96">
        <f t="shared" si="3"/>
        <v>0.85999999999999988</v>
      </c>
      <c r="N8" s="96">
        <f t="shared" si="3"/>
        <v>0.86999999999999988</v>
      </c>
      <c r="O8" s="96">
        <f t="shared" si="3"/>
        <v>0.87999999999999989</v>
      </c>
      <c r="P8" s="96">
        <f t="shared" si="3"/>
        <v>0.8899999999999999</v>
      </c>
      <c r="Q8" s="96">
        <f t="shared" si="4"/>
        <v>0.89999999999999991</v>
      </c>
      <c r="R8" s="96">
        <f t="shared" si="4"/>
        <v>0.90999999999999992</v>
      </c>
      <c r="S8" s="96">
        <f t="shared" si="4"/>
        <v>0.91999999999999993</v>
      </c>
      <c r="T8" s="96">
        <f t="shared" si="4"/>
        <v>0.92999999999999994</v>
      </c>
      <c r="U8" s="96">
        <f t="shared" si="4"/>
        <v>0.94</v>
      </c>
      <c r="V8" s="96">
        <f t="shared" si="4"/>
        <v>0.95</v>
      </c>
      <c r="W8" s="96">
        <f t="shared" si="4"/>
        <v>0.96</v>
      </c>
      <c r="X8" s="96">
        <f t="shared" si="4"/>
        <v>0.97</v>
      </c>
      <c r="Y8" s="96">
        <f t="shared" si="4"/>
        <v>0.98</v>
      </c>
      <c r="Z8" s="96">
        <f>AA8-1%</f>
        <v>0.99</v>
      </c>
      <c r="AA8" s="96">
        <v>1</v>
      </c>
      <c r="AB8" s="96">
        <f>AA8+1%</f>
        <v>1.01</v>
      </c>
      <c r="AC8" s="96">
        <f t="shared" si="1"/>
        <v>1.02</v>
      </c>
      <c r="AD8" s="96">
        <f t="shared" si="1"/>
        <v>1.03</v>
      </c>
      <c r="AE8" s="96">
        <f t="shared" si="1"/>
        <v>1.04</v>
      </c>
      <c r="AF8" s="96">
        <f t="shared" si="1"/>
        <v>1.05</v>
      </c>
      <c r="AG8" s="96">
        <f t="shared" si="1"/>
        <v>1.06</v>
      </c>
      <c r="AH8" s="96"/>
      <c r="AI8" s="96"/>
      <c r="AJ8" s="96"/>
      <c r="AK8" s="96"/>
      <c r="AL8" s="96"/>
      <c r="AM8" s="96">
        <f t="shared" si="1"/>
        <v>0.01</v>
      </c>
      <c r="AN8" s="96">
        <f t="shared" si="1"/>
        <v>0.02</v>
      </c>
      <c r="AO8" s="96">
        <f t="shared" si="1"/>
        <v>0.03</v>
      </c>
      <c r="AP8" s="96">
        <f t="shared" si="1"/>
        <v>0.04</v>
      </c>
      <c r="AQ8" s="96">
        <f t="shared" si="1"/>
        <v>0.05</v>
      </c>
      <c r="AR8" s="96">
        <f t="shared" si="1"/>
        <v>6.0000000000000005E-2</v>
      </c>
      <c r="AS8" s="96">
        <f t="shared" si="2"/>
        <v>7.0000000000000007E-2</v>
      </c>
      <c r="AT8" s="96">
        <f t="shared" si="2"/>
        <v>0.08</v>
      </c>
      <c r="AU8" s="96">
        <f t="shared" si="2"/>
        <v>0.09</v>
      </c>
      <c r="AV8" s="96">
        <f t="shared" si="2"/>
        <v>9.9999999999999992E-2</v>
      </c>
      <c r="AW8" s="96">
        <f t="shared" si="2"/>
        <v>0.10999999999999999</v>
      </c>
      <c r="AX8" s="96">
        <f t="shared" si="2"/>
        <v>0.11999999999999998</v>
      </c>
      <c r="AY8" s="96">
        <f t="shared" si="2"/>
        <v>0.12999999999999998</v>
      </c>
      <c r="AZ8" s="96">
        <f t="shared" si="2"/>
        <v>0.13999999999999999</v>
      </c>
      <c r="BA8" s="96">
        <f t="shared" si="2"/>
        <v>0.15</v>
      </c>
      <c r="BB8" s="96">
        <f t="shared" si="2"/>
        <v>0.16</v>
      </c>
      <c r="BC8" s="96">
        <f t="shared" si="2"/>
        <v>0.17</v>
      </c>
      <c r="BD8" s="96">
        <f t="shared" si="2"/>
        <v>0.18000000000000002</v>
      </c>
      <c r="BE8" s="96">
        <f t="shared" si="2"/>
        <v>0.19000000000000003</v>
      </c>
    </row>
    <row r="9" spans="1:57">
      <c r="A9" s="97">
        <v>134421932.43243244</v>
      </c>
      <c r="B9" s="97">
        <v>130884513.15789476</v>
      </c>
      <c r="C9" s="97">
        <v>125914215.18987343</v>
      </c>
      <c r="D9" s="97">
        <v>119846060.24096386</v>
      </c>
      <c r="E9" s="97">
        <v>117026152.94117647</v>
      </c>
      <c r="F9" s="97">
        <v>113036625</v>
      </c>
      <c r="G9" s="97">
        <v>108121989.13043478</v>
      </c>
      <c r="H9" s="97">
        <v>105821521.27659574</v>
      </c>
      <c r="I9" s="97">
        <v>102548690.72164948</v>
      </c>
      <c r="J9" s="97">
        <v>98487356.435643554</v>
      </c>
      <c r="K9" s="97">
        <v>96574980.58252427</v>
      </c>
      <c r="L9" s="97">
        <v>93841726.415094331</v>
      </c>
      <c r="M9" s="97">
        <v>90429299.999999985</v>
      </c>
      <c r="N9" s="97">
        <v>88814491.071428552</v>
      </c>
      <c r="O9" s="97">
        <v>86497591.304347813</v>
      </c>
      <c r="P9" s="97">
        <v>85018999.999999985</v>
      </c>
      <c r="Q9" s="97">
        <v>83590109.243697464</v>
      </c>
      <c r="R9" s="97">
        <v>109310142.85714288</v>
      </c>
      <c r="S9" s="97">
        <v>108121989.13043481</v>
      </c>
      <c r="T9" s="97">
        <v>106959387.09677422</v>
      </c>
      <c r="U9" s="97">
        <v>105821521.27659577</v>
      </c>
      <c r="V9" s="97">
        <v>104707610.52631581</v>
      </c>
      <c r="W9" s="97">
        <v>103616906.25000001</v>
      </c>
      <c r="X9" s="97">
        <v>102548690.7216495</v>
      </c>
      <c r="Y9" s="97">
        <v>101502275.51020409</v>
      </c>
      <c r="Z9" s="97">
        <v>100477000.00000001</v>
      </c>
      <c r="AA9" s="97">
        <v>99472230.000000015</v>
      </c>
      <c r="AB9" s="97">
        <v>100466952.30000001</v>
      </c>
      <c r="AC9" s="97">
        <v>101461674.60000002</v>
      </c>
      <c r="AD9" s="97">
        <v>102456396.90000002</v>
      </c>
      <c r="AE9" s="97">
        <v>103451119.20000002</v>
      </c>
      <c r="AF9" s="97">
        <v>104445841.50000001</v>
      </c>
      <c r="AG9" s="97">
        <v>105440563.80000003</v>
      </c>
      <c r="AH9" s="97"/>
      <c r="AI9" s="97"/>
      <c r="AJ9" s="97"/>
      <c r="AK9" s="97"/>
      <c r="AL9" s="97"/>
      <c r="AM9" s="97">
        <v>994722.30000000016</v>
      </c>
      <c r="AN9" s="97">
        <v>1989444.6000000003</v>
      </c>
      <c r="AO9" s="97">
        <v>2984166.9000000004</v>
      </c>
      <c r="AP9" s="97">
        <v>3978889.2000000007</v>
      </c>
      <c r="AQ9" s="97">
        <v>4973611.5000000009</v>
      </c>
      <c r="AR9" s="97">
        <v>5968333.8000000017</v>
      </c>
      <c r="AS9" s="97">
        <v>6963056.1000000015</v>
      </c>
      <c r="AT9" s="97">
        <v>7957778.4000000013</v>
      </c>
      <c r="AU9" s="97">
        <v>8952500.7000000011</v>
      </c>
      <c r="AV9" s="97">
        <v>9947223</v>
      </c>
      <c r="AW9" s="97">
        <v>10941945.300000001</v>
      </c>
      <c r="AX9" s="97">
        <v>11936667.6</v>
      </c>
      <c r="AY9" s="97">
        <v>12931389.9</v>
      </c>
      <c r="AZ9" s="97">
        <v>13926112.200000001</v>
      </c>
      <c r="BA9" s="97">
        <v>14920834.500000002</v>
      </c>
      <c r="BB9" s="97">
        <v>15915556.800000003</v>
      </c>
      <c r="BC9" s="97">
        <v>16910279.100000005</v>
      </c>
      <c r="BD9" s="97">
        <v>17905001.400000006</v>
      </c>
      <c r="BE9" s="97">
        <v>18899723.700000007</v>
      </c>
    </row>
    <row r="10" spans="1:57">
      <c r="A10" s="97">
        <v>48048970.369600013</v>
      </c>
      <c r="B10" s="97">
        <v>48698280.780000016</v>
      </c>
      <c r="C10" s="97">
        <v>49347591.190400012</v>
      </c>
      <c r="D10" s="97">
        <v>49996901.600800015</v>
      </c>
      <c r="E10" s="97">
        <v>50646212.011200018</v>
      </c>
      <c r="F10" s="97">
        <v>51295522.421600014</v>
      </c>
      <c r="G10" s="97">
        <v>51944832.832000017</v>
      </c>
      <c r="H10" s="97">
        <v>52594143.24240002</v>
      </c>
      <c r="I10" s="97">
        <v>53243453.652800016</v>
      </c>
      <c r="J10" s="97">
        <v>53892764.063200019</v>
      </c>
      <c r="K10" s="97">
        <v>54542074.473600022</v>
      </c>
      <c r="L10" s="97">
        <v>55191384.884000026</v>
      </c>
      <c r="M10" s="97">
        <v>55840695.294400021</v>
      </c>
      <c r="N10" s="97">
        <v>56490005.704800025</v>
      </c>
      <c r="O10" s="97">
        <v>57139316.115200028</v>
      </c>
      <c r="P10" s="97">
        <v>57788626.525600024</v>
      </c>
      <c r="Q10" s="97">
        <v>58437936.936000027</v>
      </c>
      <c r="R10" s="97">
        <v>59087247.34640003</v>
      </c>
      <c r="S10" s="97">
        <v>59736557.756800026</v>
      </c>
      <c r="T10" s="97">
        <v>60385868.167200029</v>
      </c>
      <c r="U10" s="97">
        <v>61035178.577600032</v>
      </c>
      <c r="V10" s="97">
        <v>61684488.988000035</v>
      </c>
      <c r="W10" s="97">
        <v>62333799.398400031</v>
      </c>
      <c r="X10" s="97">
        <v>62983109.808800034</v>
      </c>
      <c r="Y10" s="97">
        <v>63632420.219200037</v>
      </c>
      <c r="Z10" s="97">
        <v>64281730.629600033</v>
      </c>
      <c r="AA10" s="97">
        <v>64931041.040000036</v>
      </c>
      <c r="AB10" s="97">
        <v>65580351.45040004</v>
      </c>
      <c r="AC10" s="97">
        <v>66229661.860800035</v>
      </c>
      <c r="AD10" s="97">
        <v>66878972.271200038</v>
      </c>
      <c r="AE10" s="97">
        <v>67528282.681600034</v>
      </c>
      <c r="AF10" s="97">
        <v>68177593.092000037</v>
      </c>
      <c r="AG10" s="97">
        <v>68826903.502400041</v>
      </c>
      <c r="AH10" s="97"/>
      <c r="AI10" s="97"/>
      <c r="AJ10" s="97"/>
      <c r="AK10" s="97"/>
      <c r="AL10" s="97"/>
      <c r="AM10" s="97">
        <v>649310.4104000004</v>
      </c>
      <c r="AN10" s="97">
        <v>1298620.8208000008</v>
      </c>
      <c r="AO10" s="97">
        <v>1947931.231200001</v>
      </c>
      <c r="AP10" s="97">
        <v>2597241.6416000016</v>
      </c>
      <c r="AQ10" s="97">
        <v>3246552.052000002</v>
      </c>
      <c r="AR10" s="97">
        <v>3895862.4624000024</v>
      </c>
      <c r="AS10" s="97">
        <v>4545172.8728000028</v>
      </c>
      <c r="AT10" s="97">
        <v>5194483.2832000032</v>
      </c>
      <c r="AU10" s="97">
        <v>5843793.6936000027</v>
      </c>
      <c r="AV10" s="97">
        <v>6493104.1040000031</v>
      </c>
      <c r="AW10" s="97">
        <v>7142414.5144000035</v>
      </c>
      <c r="AX10" s="97">
        <v>7791724.9248000029</v>
      </c>
      <c r="AY10" s="97">
        <v>8441035.3352000024</v>
      </c>
      <c r="AZ10" s="97">
        <v>9090345.7456000037</v>
      </c>
      <c r="BA10" s="97">
        <v>9739656.1560000051</v>
      </c>
      <c r="BB10" s="97">
        <v>10388966.566400006</v>
      </c>
      <c r="BC10" s="97">
        <v>11038276.976800008</v>
      </c>
      <c r="BD10" s="97">
        <v>11687587.387200007</v>
      </c>
      <c r="BE10" s="97">
        <v>12336897.797600009</v>
      </c>
    </row>
    <row r="11" spans="1:57">
      <c r="A11" s="97">
        <v>20368434.810580131</v>
      </c>
      <c r="B11" s="97">
        <v>20643683.929642025</v>
      </c>
      <c r="C11" s="97">
        <v>20918933.04870392</v>
      </c>
      <c r="D11" s="97">
        <v>21194182.167765811</v>
      </c>
      <c r="E11" s="97">
        <v>21469431.286827706</v>
      </c>
      <c r="F11" s="97">
        <v>21744680.405889601</v>
      </c>
      <c r="G11" s="97">
        <v>22019929.524951495</v>
      </c>
      <c r="H11" s="97">
        <v>22295178.64401339</v>
      </c>
      <c r="I11" s="97">
        <v>22570427.763075281</v>
      </c>
      <c r="J11" s="97">
        <v>22845676.882137176</v>
      </c>
      <c r="K11" s="97">
        <v>23120926.00119907</v>
      </c>
      <c r="L11" s="97">
        <v>23396175.120260965</v>
      </c>
      <c r="M11" s="97">
        <v>23671424.23932286</v>
      </c>
      <c r="N11" s="97">
        <v>23946673.358384755</v>
      </c>
      <c r="O11" s="97">
        <v>24221922.477446645</v>
      </c>
      <c r="P11" s="97">
        <v>24497171.59650854</v>
      </c>
      <c r="Q11" s="97">
        <v>24772420.715570435</v>
      </c>
      <c r="R11" s="97">
        <v>25047669.83463233</v>
      </c>
      <c r="S11" s="97">
        <v>25322918.953694224</v>
      </c>
      <c r="T11" s="97">
        <v>25598168.072756115</v>
      </c>
      <c r="U11" s="97">
        <v>25873417.19181801</v>
      </c>
      <c r="V11" s="97">
        <v>26148666.310879905</v>
      </c>
      <c r="W11" s="97">
        <v>26423915.429941799</v>
      </c>
      <c r="X11" s="97">
        <v>26699164.549003694</v>
      </c>
      <c r="Y11" s="97">
        <v>26974413.668065585</v>
      </c>
      <c r="Z11" s="97">
        <v>27249662.78712748</v>
      </c>
      <c r="AA11" s="97">
        <v>27524911.906189375</v>
      </c>
      <c r="AB11" s="97">
        <v>27800161.025251269</v>
      </c>
      <c r="AC11" s="97">
        <v>28075410.144313164</v>
      </c>
      <c r="AD11" s="97">
        <v>28350659.263375055</v>
      </c>
      <c r="AE11" s="97">
        <v>28625908.38243695</v>
      </c>
      <c r="AF11" s="97">
        <v>28901157.501498844</v>
      </c>
      <c r="AG11" s="97">
        <v>29176406.620560739</v>
      </c>
      <c r="AH11" s="97"/>
      <c r="AI11" s="97"/>
      <c r="AJ11" s="97"/>
      <c r="AK11" s="97"/>
      <c r="AL11" s="97"/>
      <c r="AM11" s="97">
        <v>275249.11906189373</v>
      </c>
      <c r="AN11" s="97">
        <v>550498.23812378745</v>
      </c>
      <c r="AO11" s="97">
        <v>825747.35718568123</v>
      </c>
      <c r="AP11" s="97">
        <v>1100996.4762475749</v>
      </c>
      <c r="AQ11" s="97">
        <v>1376245.5953094689</v>
      </c>
      <c r="AR11" s="97">
        <v>1651494.7143713627</v>
      </c>
      <c r="AS11" s="97">
        <v>1926743.8334332565</v>
      </c>
      <c r="AT11" s="97">
        <v>2201992.9524951498</v>
      </c>
      <c r="AU11" s="97">
        <v>2477242.0715570436</v>
      </c>
      <c r="AV11" s="97">
        <v>2752491.1906189374</v>
      </c>
      <c r="AW11" s="97">
        <v>3027740.3096808307</v>
      </c>
      <c r="AX11" s="97">
        <v>3302989.4287427245</v>
      </c>
      <c r="AY11" s="97">
        <v>3578238.5478046183</v>
      </c>
      <c r="AZ11" s="97">
        <v>3853487.666866512</v>
      </c>
      <c r="BA11" s="97">
        <v>4128736.7859284058</v>
      </c>
      <c r="BB11" s="97">
        <v>4403985.9049902996</v>
      </c>
      <c r="BC11" s="97">
        <v>4679235.0240521943</v>
      </c>
      <c r="BD11" s="97">
        <v>4954484.1431140881</v>
      </c>
      <c r="BE11" s="97">
        <v>5229733.2621759819</v>
      </c>
    </row>
    <row r="12" spans="1:57">
      <c r="R12" s="90">
        <v>1</v>
      </c>
    </row>
    <row r="13" spans="1:57">
      <c r="P13" s="90">
        <v>2</v>
      </c>
      <c r="R13" s="90">
        <v>1</v>
      </c>
    </row>
    <row r="14" spans="1:57">
      <c r="P14" s="90">
        <f t="shared" ref="P14:P21" si="5">P15+0.2</f>
        <v>3.8000000000000016</v>
      </c>
      <c r="Q14" s="90">
        <f>R14/P14</f>
        <v>0.26315789473684198</v>
      </c>
      <c r="R14" s="90">
        <v>1</v>
      </c>
    </row>
    <row r="15" spans="1:57">
      <c r="A15" s="110" t="s">
        <v>73</v>
      </c>
      <c r="B15" s="110" t="s">
        <v>74</v>
      </c>
      <c r="C15" s="110" t="s">
        <v>75</v>
      </c>
      <c r="D15" s="110" t="s">
        <v>76</v>
      </c>
      <c r="E15" s="110" t="s">
        <v>77</v>
      </c>
      <c r="F15" s="110" t="s">
        <v>78</v>
      </c>
      <c r="G15" s="110" t="s">
        <v>79</v>
      </c>
      <c r="H15" s="110" t="s">
        <v>80</v>
      </c>
      <c r="I15" s="110" t="s">
        <v>81</v>
      </c>
      <c r="J15" s="110" t="s">
        <v>82</v>
      </c>
      <c r="K15" s="110" t="s">
        <v>83</v>
      </c>
      <c r="L15" s="110" t="s">
        <v>84</v>
      </c>
      <c r="P15" s="90">
        <f t="shared" si="5"/>
        <v>3.6000000000000014</v>
      </c>
      <c r="Q15" s="90">
        <f>R15/P15</f>
        <v>0.27777777777777768</v>
      </c>
      <c r="R15" s="90">
        <v>1</v>
      </c>
    </row>
    <row r="16" spans="1:57">
      <c r="A16" s="111">
        <v>60</v>
      </c>
      <c r="B16" s="111">
        <v>70</v>
      </c>
      <c r="C16" s="111">
        <v>70</v>
      </c>
      <c r="D16" s="111">
        <v>70</v>
      </c>
      <c r="E16" s="111">
        <v>85</v>
      </c>
      <c r="F16" s="111">
        <v>85</v>
      </c>
      <c r="G16" s="111">
        <v>70</v>
      </c>
      <c r="H16" s="111">
        <v>70</v>
      </c>
      <c r="I16" s="111">
        <v>75</v>
      </c>
      <c r="J16" s="111">
        <v>80</v>
      </c>
      <c r="K16" s="111">
        <v>80</v>
      </c>
      <c r="L16" s="111">
        <v>85</v>
      </c>
      <c r="P16" s="90">
        <f t="shared" si="5"/>
        <v>3.4000000000000012</v>
      </c>
      <c r="Q16" s="90">
        <f>10+(P16+2)^2</f>
        <v>39.160000000000011</v>
      </c>
      <c r="R16" s="90">
        <v>1</v>
      </c>
    </row>
    <row r="17" spans="1:19">
      <c r="A17" s="112">
        <v>0.70589999999999997</v>
      </c>
      <c r="B17" s="112">
        <v>0.82350000000000001</v>
      </c>
      <c r="C17" s="112">
        <v>0.82350000000000001</v>
      </c>
      <c r="D17" s="112">
        <v>0.82350000000000001</v>
      </c>
      <c r="E17" s="112">
        <v>1</v>
      </c>
      <c r="F17" s="112">
        <v>1</v>
      </c>
      <c r="G17" s="112">
        <v>0.82350000000000001</v>
      </c>
      <c r="H17" s="112">
        <v>0.82350000000000001</v>
      </c>
      <c r="I17" s="112">
        <v>0.88239999999999996</v>
      </c>
      <c r="J17" s="112">
        <v>0.94120000000000004</v>
      </c>
      <c r="K17" s="112">
        <v>0.94120000000000004</v>
      </c>
      <c r="L17" s="112">
        <v>1</v>
      </c>
      <c r="P17" s="90">
        <f t="shared" si="5"/>
        <v>3.2000000000000011</v>
      </c>
      <c r="Q17" s="90">
        <f>10+(P17+2)^2</f>
        <v>37.040000000000006</v>
      </c>
      <c r="R17" s="90">
        <v>1</v>
      </c>
    </row>
    <row r="18" spans="1:19">
      <c r="P18" s="90">
        <f t="shared" si="5"/>
        <v>3.0000000000000009</v>
      </c>
      <c r="Q18" s="90">
        <f>10+(P18+2)^2</f>
        <v>35.000000000000007</v>
      </c>
      <c r="R18" s="90">
        <v>1</v>
      </c>
    </row>
    <row r="19" spans="1:19">
      <c r="P19" s="90">
        <f t="shared" si="5"/>
        <v>2.8000000000000007</v>
      </c>
      <c r="Q19" s="90">
        <f>10+(P19+2)^2</f>
        <v>33.040000000000006</v>
      </c>
      <c r="R19" s="90">
        <f>R20+0.2</f>
        <v>14.2</v>
      </c>
    </row>
    <row r="20" spans="1:19">
      <c r="P20" s="90">
        <f t="shared" si="5"/>
        <v>2.6000000000000005</v>
      </c>
      <c r="Q20" s="90">
        <f>10+(P20+3-$S$26)^2</f>
        <v>36.010000000000005</v>
      </c>
      <c r="R20" s="90">
        <f t="shared" ref="R20:R30" si="6">R21+1</f>
        <v>14</v>
      </c>
    </row>
    <row r="21" spans="1:19">
      <c r="P21" s="90">
        <f t="shared" si="5"/>
        <v>2.4000000000000004</v>
      </c>
      <c r="Q21" s="90">
        <f>10+(P21+3-$S$26)^2</f>
        <v>34.010000000000005</v>
      </c>
      <c r="R21" s="90">
        <f t="shared" si="6"/>
        <v>13</v>
      </c>
      <c r="S21" s="90">
        <v>1</v>
      </c>
    </row>
    <row r="22" spans="1:19">
      <c r="P22" s="90">
        <f>P23+0.2</f>
        <v>2.2000000000000002</v>
      </c>
      <c r="Q22" s="90">
        <f>10+(P22+S21-$S$26)^2</f>
        <v>17.29</v>
      </c>
      <c r="R22" s="90">
        <f t="shared" si="6"/>
        <v>12</v>
      </c>
      <c r="S22" s="90">
        <v>1.5</v>
      </c>
    </row>
    <row r="23" spans="1:19">
      <c r="P23" s="90">
        <v>2</v>
      </c>
      <c r="Q23" s="90">
        <f>10+(P23+S22-$S$26)^2</f>
        <v>19</v>
      </c>
      <c r="R23" s="90">
        <f t="shared" si="6"/>
        <v>11</v>
      </c>
      <c r="S23" s="90">
        <v>2</v>
      </c>
    </row>
    <row r="24" spans="1:19">
      <c r="P24" s="90">
        <f t="shared" ref="P24:P32" si="7">P23-0.2</f>
        <v>1.8</v>
      </c>
      <c r="Q24" s="90">
        <f>10+(P24+S23-$S$26)^2</f>
        <v>20.89</v>
      </c>
      <c r="R24" s="90">
        <f t="shared" si="6"/>
        <v>10</v>
      </c>
      <c r="S24" s="90">
        <v>2.5</v>
      </c>
    </row>
    <row r="25" spans="1:19">
      <c r="P25" s="90">
        <f t="shared" si="7"/>
        <v>1.6</v>
      </c>
      <c r="Q25" s="90">
        <f>10+(P25+S24-$S$26)^2</f>
        <v>22.959999999999997</v>
      </c>
      <c r="R25" s="90">
        <f t="shared" si="6"/>
        <v>9</v>
      </c>
      <c r="S25" s="90">
        <v>3</v>
      </c>
    </row>
    <row r="26" spans="1:19">
      <c r="P26" s="90">
        <f t="shared" si="7"/>
        <v>1.4000000000000001</v>
      </c>
      <c r="Q26" s="90">
        <f>10+(P26+S25-$S$26)^2</f>
        <v>25.21</v>
      </c>
      <c r="R26" s="90">
        <f t="shared" si="6"/>
        <v>8</v>
      </c>
      <c r="S26" s="90">
        <v>0.5</v>
      </c>
    </row>
    <row r="27" spans="1:19">
      <c r="P27" s="90">
        <f t="shared" si="7"/>
        <v>1.2000000000000002</v>
      </c>
      <c r="Q27" s="90">
        <f t="shared" ref="Q27:Q32" si="8">10+(P27+4)^2</f>
        <v>37.040000000000006</v>
      </c>
      <c r="R27" s="90">
        <f t="shared" si="6"/>
        <v>7</v>
      </c>
    </row>
    <row r="28" spans="1:19">
      <c r="P28" s="90">
        <f t="shared" si="7"/>
        <v>1.0000000000000002</v>
      </c>
      <c r="Q28" s="90">
        <f t="shared" si="8"/>
        <v>35</v>
      </c>
      <c r="R28" s="90">
        <f t="shared" si="6"/>
        <v>6</v>
      </c>
    </row>
    <row r="29" spans="1:19">
      <c r="P29" s="90">
        <f t="shared" si="7"/>
        <v>0.80000000000000027</v>
      </c>
      <c r="Q29" s="90">
        <f t="shared" si="8"/>
        <v>33.040000000000006</v>
      </c>
      <c r="R29" s="90">
        <f t="shared" si="6"/>
        <v>5</v>
      </c>
    </row>
    <row r="30" spans="1:19">
      <c r="P30" s="90">
        <f t="shared" si="7"/>
        <v>0.60000000000000031</v>
      </c>
      <c r="Q30" s="90">
        <f t="shared" si="8"/>
        <v>31.160000000000004</v>
      </c>
      <c r="R30" s="90">
        <f t="shared" si="6"/>
        <v>4</v>
      </c>
    </row>
    <row r="31" spans="1:19">
      <c r="P31" s="90">
        <f t="shared" si="7"/>
        <v>0.4000000000000003</v>
      </c>
      <c r="Q31" s="90">
        <f t="shared" si="8"/>
        <v>29.360000000000003</v>
      </c>
      <c r="R31" s="90">
        <f>R32+1</f>
        <v>3</v>
      </c>
    </row>
    <row r="32" spans="1:19">
      <c r="P32" s="90">
        <f t="shared" si="7"/>
        <v>0.20000000000000029</v>
      </c>
      <c r="Q32" s="90">
        <f t="shared" si="8"/>
        <v>27.64</v>
      </c>
      <c r="R32" s="90">
        <v>2</v>
      </c>
    </row>
    <row r="41" spans="3:17">
      <c r="C41" s="90">
        <v>1</v>
      </c>
      <c r="D41" s="90">
        <f>2</f>
        <v>2</v>
      </c>
      <c r="E41" s="90">
        <f>SUM(C41:D41)</f>
        <v>3</v>
      </c>
      <c r="F41" s="90">
        <f t="shared" ref="F41:Q41" si="9">SUM(D41:E41)</f>
        <v>5</v>
      </c>
      <c r="G41" s="90">
        <f t="shared" si="9"/>
        <v>8</v>
      </c>
      <c r="H41" s="90">
        <f t="shared" si="9"/>
        <v>13</v>
      </c>
      <c r="I41" s="90">
        <f t="shared" si="9"/>
        <v>21</v>
      </c>
      <c r="J41" s="90">
        <f t="shared" si="9"/>
        <v>34</v>
      </c>
      <c r="K41" s="90">
        <f t="shared" si="9"/>
        <v>55</v>
      </c>
      <c r="L41" s="90">
        <f t="shared" si="9"/>
        <v>89</v>
      </c>
      <c r="M41" s="90">
        <f t="shared" si="9"/>
        <v>144</v>
      </c>
      <c r="N41" s="90">
        <f t="shared" si="9"/>
        <v>233</v>
      </c>
      <c r="O41" s="90">
        <f t="shared" si="9"/>
        <v>377</v>
      </c>
      <c r="P41" s="90">
        <f t="shared" si="9"/>
        <v>610</v>
      </c>
      <c r="Q41" s="90">
        <f t="shared" si="9"/>
        <v>987</v>
      </c>
    </row>
    <row r="44" spans="3:17">
      <c r="F44" s="90">
        <v>987</v>
      </c>
      <c r="G44" s="90">
        <v>810</v>
      </c>
      <c r="H44" s="90">
        <v>400</v>
      </c>
      <c r="I44" s="90">
        <v>233</v>
      </c>
      <c r="M44" s="90">
        <v>2</v>
      </c>
    </row>
    <row r="53" spans="1:38">
      <c r="A53" s="96">
        <f t="shared" ref="A53:L53" si="10">B53-3%</f>
        <v>0.60999999999999965</v>
      </c>
      <c r="B53" s="96">
        <f t="shared" si="10"/>
        <v>0.63999999999999968</v>
      </c>
      <c r="C53" s="96">
        <f t="shared" si="10"/>
        <v>0.66999999999999971</v>
      </c>
      <c r="D53" s="96">
        <f t="shared" si="10"/>
        <v>0.69999999999999973</v>
      </c>
      <c r="E53" s="96">
        <f t="shared" si="10"/>
        <v>0.72999999999999976</v>
      </c>
      <c r="F53" s="96">
        <f t="shared" si="10"/>
        <v>0.75999999999999979</v>
      </c>
      <c r="G53" s="96">
        <f t="shared" si="10"/>
        <v>0.78999999999999981</v>
      </c>
      <c r="H53" s="96">
        <f t="shared" si="10"/>
        <v>0.81999999999999984</v>
      </c>
      <c r="I53" s="96">
        <f t="shared" si="10"/>
        <v>0.84999999999999987</v>
      </c>
      <c r="J53" s="96">
        <f t="shared" si="10"/>
        <v>0.87999999999999989</v>
      </c>
      <c r="K53" s="96">
        <f t="shared" si="10"/>
        <v>0.90999999999999992</v>
      </c>
      <c r="L53" s="96">
        <f t="shared" si="10"/>
        <v>0.94</v>
      </c>
      <c r="M53" s="96">
        <f>N53-3%</f>
        <v>0.97</v>
      </c>
      <c r="N53" s="96">
        <v>1</v>
      </c>
      <c r="O53" s="96">
        <f>N53+3%</f>
        <v>1.03</v>
      </c>
      <c r="P53" s="96">
        <f t="shared" ref="P53:AG53" si="11">O53+3%</f>
        <v>1.06</v>
      </c>
      <c r="Q53" s="96">
        <f t="shared" si="11"/>
        <v>1.0900000000000001</v>
      </c>
      <c r="R53" s="96">
        <f t="shared" si="11"/>
        <v>1.1200000000000001</v>
      </c>
      <c r="S53" s="96">
        <f t="shared" si="11"/>
        <v>1.1500000000000001</v>
      </c>
      <c r="T53" s="96">
        <f t="shared" si="11"/>
        <v>1.1800000000000002</v>
      </c>
      <c r="U53" s="96">
        <f t="shared" si="11"/>
        <v>1.2100000000000002</v>
      </c>
      <c r="V53" s="96">
        <f t="shared" si="11"/>
        <v>1.2400000000000002</v>
      </c>
      <c r="W53" s="96">
        <f t="shared" si="11"/>
        <v>1.2700000000000002</v>
      </c>
      <c r="X53" s="96">
        <f t="shared" si="11"/>
        <v>1.3000000000000003</v>
      </c>
      <c r="Y53" s="96">
        <f t="shared" si="11"/>
        <v>1.3300000000000003</v>
      </c>
      <c r="Z53" s="96">
        <f t="shared" si="11"/>
        <v>1.3600000000000003</v>
      </c>
      <c r="AA53" s="96">
        <f t="shared" si="11"/>
        <v>1.3900000000000003</v>
      </c>
      <c r="AB53" s="96">
        <f t="shared" si="11"/>
        <v>1.4200000000000004</v>
      </c>
      <c r="AC53" s="96">
        <f t="shared" si="11"/>
        <v>1.4500000000000004</v>
      </c>
      <c r="AD53" s="96">
        <f t="shared" si="11"/>
        <v>1.4800000000000004</v>
      </c>
      <c r="AE53" s="96">
        <f t="shared" si="11"/>
        <v>1.5100000000000005</v>
      </c>
      <c r="AF53" s="96">
        <f t="shared" si="11"/>
        <v>1.5400000000000005</v>
      </c>
      <c r="AG53" s="96">
        <f t="shared" si="11"/>
        <v>1.5700000000000005</v>
      </c>
    </row>
    <row r="54" spans="1:38">
      <c r="F54" s="98">
        <v>0.02</v>
      </c>
      <c r="G54" s="98">
        <v>0.03</v>
      </c>
      <c r="H54" s="98">
        <v>2.5000000000000001E-2</v>
      </c>
      <c r="I54" s="98">
        <v>0.02</v>
      </c>
      <c r="J54" s="98">
        <v>1.4999999999999999E-2</v>
      </c>
      <c r="K54" s="98">
        <v>0.01</v>
      </c>
      <c r="L54" s="98">
        <v>5.0000000000000001E-3</v>
      </c>
      <c r="M54" s="98">
        <v>0</v>
      </c>
      <c r="N54" s="98">
        <v>-5.0000000000000001E-3</v>
      </c>
      <c r="O54" s="98">
        <v>-0.01</v>
      </c>
      <c r="P54" s="98">
        <v>-1.4999999999999999E-2</v>
      </c>
      <c r="Q54" s="98">
        <v>-0.02</v>
      </c>
      <c r="R54" s="98">
        <v>-2.5000000000000001E-2</v>
      </c>
      <c r="S54" s="98">
        <v>-0.03</v>
      </c>
      <c r="T54" s="98">
        <v>-3.5000000000000003E-2</v>
      </c>
      <c r="U54" s="98">
        <v>-0.04</v>
      </c>
      <c r="V54" s="98">
        <v>-4.4999999999999998E-2</v>
      </c>
      <c r="W54" s="98">
        <v>-0.05</v>
      </c>
      <c r="X54" s="98">
        <v>-5.5E-2</v>
      </c>
      <c r="Y54" s="98">
        <v>-0.06</v>
      </c>
      <c r="Z54" s="98">
        <v>-6.4999999999999905E-2</v>
      </c>
      <c r="AA54" s="98">
        <v>-7.0000000000000007E-2</v>
      </c>
      <c r="AB54" s="98">
        <v>-7.4999999999999997E-2</v>
      </c>
      <c r="AC54" s="98">
        <v>-0.08</v>
      </c>
      <c r="AD54" s="98">
        <v>-8.5000000000000006E-2</v>
      </c>
      <c r="AE54" s="98">
        <v>-0.09</v>
      </c>
      <c r="AF54" s="98">
        <v>-9.5000000000000001E-2</v>
      </c>
      <c r="AG54" s="98">
        <v>-0.1</v>
      </c>
      <c r="AH54" s="98"/>
      <c r="AI54" s="98"/>
      <c r="AJ54" s="98"/>
      <c r="AK54" s="98"/>
      <c r="AL54" s="98"/>
    </row>
    <row r="55" spans="1:38">
      <c r="E55" s="96">
        <v>0.74</v>
      </c>
      <c r="F55" s="96">
        <f>E55+F54</f>
        <v>0.76</v>
      </c>
      <c r="G55" s="96">
        <f t="shared" ref="G55:Q55" si="12">F55+G54</f>
        <v>0.79</v>
      </c>
      <c r="H55" s="96">
        <f t="shared" si="12"/>
        <v>0.81500000000000006</v>
      </c>
      <c r="I55" s="96">
        <f t="shared" si="12"/>
        <v>0.83500000000000008</v>
      </c>
      <c r="J55" s="96">
        <f t="shared" si="12"/>
        <v>0.85000000000000009</v>
      </c>
      <c r="K55" s="96">
        <f t="shared" si="12"/>
        <v>0.8600000000000001</v>
      </c>
      <c r="L55" s="96">
        <f t="shared" si="12"/>
        <v>0.8650000000000001</v>
      </c>
      <c r="M55" s="96">
        <f t="shared" si="12"/>
        <v>0.8650000000000001</v>
      </c>
      <c r="N55" s="96">
        <f t="shared" si="12"/>
        <v>0.8600000000000001</v>
      </c>
      <c r="O55" s="96">
        <f t="shared" si="12"/>
        <v>0.85000000000000009</v>
      </c>
      <c r="P55" s="96">
        <f t="shared" si="12"/>
        <v>0.83500000000000008</v>
      </c>
      <c r="Q55" s="96">
        <f t="shared" si="12"/>
        <v>0.81500000000000006</v>
      </c>
      <c r="R55" s="96">
        <f>Q55+R54</f>
        <v>0.79</v>
      </c>
      <c r="S55" s="96">
        <f t="shared" ref="S55:AG55" si="13">R55+S54</f>
        <v>0.76</v>
      </c>
      <c r="T55" s="96">
        <f t="shared" si="13"/>
        <v>0.72499999999999998</v>
      </c>
      <c r="U55" s="96">
        <f t="shared" si="13"/>
        <v>0.68499999999999994</v>
      </c>
      <c r="V55" s="96">
        <f t="shared" si="13"/>
        <v>0.6399999999999999</v>
      </c>
      <c r="W55" s="96">
        <f t="shared" si="13"/>
        <v>0.58999999999999986</v>
      </c>
      <c r="X55" s="96">
        <f t="shared" si="13"/>
        <v>0.53499999999999981</v>
      </c>
      <c r="Y55" s="96">
        <f t="shared" si="13"/>
        <v>0.47499999999999981</v>
      </c>
      <c r="Z55" s="96">
        <f t="shared" si="13"/>
        <v>0.40999999999999992</v>
      </c>
      <c r="AA55" s="96">
        <f t="shared" si="13"/>
        <v>0.33999999999999991</v>
      </c>
      <c r="AB55" s="96">
        <f t="shared" si="13"/>
        <v>0.2649999999999999</v>
      </c>
      <c r="AC55" s="96">
        <f t="shared" si="13"/>
        <v>0.18499999999999989</v>
      </c>
      <c r="AD55" s="96">
        <f t="shared" si="13"/>
        <v>9.9999999999999881E-2</v>
      </c>
      <c r="AE55" s="96">
        <f t="shared" si="13"/>
        <v>9.999999999999884E-3</v>
      </c>
      <c r="AF55" s="96">
        <f t="shared" si="13"/>
        <v>-8.5000000000000117E-2</v>
      </c>
      <c r="AG55" s="96">
        <f t="shared" si="13"/>
        <v>-0.18500000000000011</v>
      </c>
      <c r="AH55" s="96"/>
      <c r="AI55" s="96"/>
      <c r="AJ55" s="96"/>
      <c r="AK55" s="96"/>
      <c r="AL55" s="96"/>
    </row>
    <row r="56" spans="1:38">
      <c r="E56" s="90">
        <f>Прибыль_окупаемость!$D$20*E55</f>
        <v>88278064.36680451</v>
      </c>
      <c r="F56" s="90">
        <f>Прибыль_окупаемость!$D$20*F55</f>
        <v>90663957.998339772</v>
      </c>
      <c r="G56" s="90">
        <f>Прибыль_окупаемость!$D$20*G55</f>
        <v>94242798.445642665</v>
      </c>
      <c r="H56" s="90">
        <f>Прибыль_окупаемость!$D$20*H55</f>
        <v>97225165.485061735</v>
      </c>
      <c r="I56" s="90">
        <f>Прибыль_окупаемость!$D$20*I55</f>
        <v>99611059.116596997</v>
      </c>
      <c r="J56" s="90">
        <f>Прибыль_окупаемость!$D$20*J55</f>
        <v>101400479.34024844</v>
      </c>
      <c r="K56" s="90">
        <f>Прибыль_окупаемость!$D$20*K55</f>
        <v>102593426.15601607</v>
      </c>
      <c r="L56" s="90">
        <f>Прибыль_окупаемость!$D$20*L55</f>
        <v>103189899.56389987</v>
      </c>
      <c r="M56" s="90">
        <f>Прибыль_окупаемость!$D$20*M55</f>
        <v>103189899.56389987</v>
      </c>
      <c r="N56" s="90">
        <f>Прибыль_окупаемость!$D$20*N55</f>
        <v>102593426.15601607</v>
      </c>
      <c r="O56" s="90">
        <f>Прибыль_окупаемость!$D$20*O55</f>
        <v>101400479.34024844</v>
      </c>
      <c r="P56" s="90">
        <f>Прибыль_окупаемость!$D$20*P55</f>
        <v>99611059.116596997</v>
      </c>
      <c r="Q56" s="90">
        <f>Прибыль_окупаемость!$D$20*Q55</f>
        <v>97225165.485061735</v>
      </c>
      <c r="R56" s="90">
        <f>Прибыль_окупаемость!$D$20*R55</f>
        <v>94242798.445642665</v>
      </c>
      <c r="S56" s="90">
        <f>Прибыль_окупаемость!$D$20*S55</f>
        <v>90663957.998339772</v>
      </c>
      <c r="T56" s="90">
        <f>Прибыль_окупаемость!$D$20*T55</f>
        <v>86488644.143153071</v>
      </c>
      <c r="U56" s="90">
        <f>Прибыль_окупаемость!$D$20*U55</f>
        <v>81716856.880082548</v>
      </c>
      <c r="V56" s="90">
        <f>Прибыль_окупаемость!$D$20*V55</f>
        <v>76348596.209128216</v>
      </c>
      <c r="W56" s="90">
        <f>Прибыль_окупаемость!$D$20*W55</f>
        <v>70383862.130290061</v>
      </c>
      <c r="X56" s="90">
        <f>Прибыль_окупаемость!$D$20*X55</f>
        <v>63822654.643568106</v>
      </c>
      <c r="Y56" s="90">
        <f>Прибыль_окупаемость!$D$20*Y55</f>
        <v>56664973.748962335</v>
      </c>
      <c r="Z56" s="90">
        <f>Прибыль_окупаемость!$D$20*Z55</f>
        <v>48910819.446472764</v>
      </c>
      <c r="AA56" s="90">
        <f>Прибыль_окупаемость!$D$20*AA55</f>
        <v>40560191.736099362</v>
      </c>
      <c r="AB56" s="90">
        <f>Прибыль_окупаемость!$D$20*AB55</f>
        <v>31613090.617842145</v>
      </c>
      <c r="AC56" s="90">
        <f>Прибыль_окупаемость!$D$20*AC55</f>
        <v>22069516.091701116</v>
      </c>
      <c r="AD56" s="90">
        <f>Прибыль_окупаемость!$D$20*AD55</f>
        <v>11929468.157676272</v>
      </c>
      <c r="AE56" s="90">
        <f>Прибыль_окупаемость!$D$20*AE55</f>
        <v>1192946.8157676146</v>
      </c>
      <c r="AF56" s="90">
        <f>Прибыль_окупаемость!$D$20*AF55</f>
        <v>-10140047.934024857</v>
      </c>
      <c r="AG56" s="90">
        <f>Прибыль_окупаемость!$D$20*AG55</f>
        <v>-22069516.091701142</v>
      </c>
    </row>
    <row r="57" spans="1:38">
      <c r="F57" s="98">
        <v>0.02</v>
      </c>
      <c r="G57" s="98">
        <v>0.03</v>
      </c>
      <c r="H57" s="98">
        <v>2.5000000000000001E-2</v>
      </c>
      <c r="I57" s="98">
        <v>0.02</v>
      </c>
      <c r="J57" s="98">
        <v>1.4999999999999999E-2</v>
      </c>
      <c r="K57" s="98">
        <v>0.01</v>
      </c>
      <c r="L57" s="98">
        <v>5.0000000000000001E-3</v>
      </c>
      <c r="M57" s="98">
        <v>0</v>
      </c>
      <c r="N57" s="98">
        <v>-5.0000000000000001E-3</v>
      </c>
      <c r="O57" s="98">
        <v>-0.01</v>
      </c>
      <c r="P57" s="98">
        <v>-1.4999999999999999E-2</v>
      </c>
      <c r="Q57" s="98">
        <v>-0.02</v>
      </c>
      <c r="R57" s="98">
        <v>-2.5000000000000001E-2</v>
      </c>
      <c r="S57" s="98">
        <v>-0.03</v>
      </c>
      <c r="T57" s="98">
        <v>-3.5000000000000003E-2</v>
      </c>
      <c r="U57" s="98">
        <v>-0.04</v>
      </c>
      <c r="V57" s="98">
        <v>-4.4999999999999998E-2</v>
      </c>
      <c r="W57" s="98">
        <v>-0.05</v>
      </c>
      <c r="X57" s="98">
        <v>-5.5E-2</v>
      </c>
      <c r="Y57" s="98">
        <v>-0.06</v>
      </c>
      <c r="Z57" s="98">
        <v>-5.5E-2</v>
      </c>
      <c r="AA57" s="98">
        <v>-0.06</v>
      </c>
      <c r="AB57" s="98">
        <v>-5.5E-2</v>
      </c>
      <c r="AC57" s="98">
        <v>-0.06</v>
      </c>
      <c r="AD57" s="98">
        <v>-5.5E-2</v>
      </c>
      <c r="AE57" s="98">
        <v>-0.06</v>
      </c>
      <c r="AF57" s="98">
        <v>-5.5E-2</v>
      </c>
      <c r="AG57" s="98">
        <v>-0.06</v>
      </c>
      <c r="AH57" s="98"/>
      <c r="AI57" s="98"/>
      <c r="AJ57" s="98"/>
      <c r="AK57" s="98"/>
      <c r="AL57" s="98"/>
    </row>
    <row r="58" spans="1:38" s="99" customFormat="1">
      <c r="E58" s="99">
        <v>0.74</v>
      </c>
      <c r="F58" s="99">
        <f>E58+F57</f>
        <v>0.76</v>
      </c>
      <c r="G58" s="99">
        <f>F58+G57</f>
        <v>0.79</v>
      </c>
      <c r="H58" s="99">
        <f t="shared" ref="H58:AG58" si="14">G58+H57</f>
        <v>0.81500000000000006</v>
      </c>
      <c r="I58" s="99">
        <f t="shared" si="14"/>
        <v>0.83500000000000008</v>
      </c>
      <c r="J58" s="99">
        <f t="shared" si="14"/>
        <v>0.85000000000000009</v>
      </c>
      <c r="K58" s="99">
        <f t="shared" si="14"/>
        <v>0.8600000000000001</v>
      </c>
      <c r="L58" s="99">
        <f t="shared" si="14"/>
        <v>0.8650000000000001</v>
      </c>
      <c r="M58" s="99">
        <f t="shared" si="14"/>
        <v>0.8650000000000001</v>
      </c>
      <c r="N58" s="99">
        <f t="shared" si="14"/>
        <v>0.8600000000000001</v>
      </c>
      <c r="O58" s="99">
        <f t="shared" si="14"/>
        <v>0.85000000000000009</v>
      </c>
      <c r="P58" s="99">
        <f t="shared" si="14"/>
        <v>0.83500000000000008</v>
      </c>
      <c r="Q58" s="99">
        <f t="shared" si="14"/>
        <v>0.81500000000000006</v>
      </c>
      <c r="R58" s="99">
        <f t="shared" si="14"/>
        <v>0.79</v>
      </c>
      <c r="S58" s="99">
        <f t="shared" si="14"/>
        <v>0.76</v>
      </c>
      <c r="T58" s="99">
        <f t="shared" si="14"/>
        <v>0.72499999999999998</v>
      </c>
      <c r="U58" s="99">
        <f t="shared" si="14"/>
        <v>0.68499999999999994</v>
      </c>
      <c r="V58" s="99">
        <f t="shared" si="14"/>
        <v>0.6399999999999999</v>
      </c>
      <c r="W58" s="99">
        <f t="shared" si="14"/>
        <v>0.58999999999999986</v>
      </c>
      <c r="X58" s="99">
        <f t="shared" si="14"/>
        <v>0.53499999999999981</v>
      </c>
      <c r="Y58" s="99">
        <f t="shared" si="14"/>
        <v>0.47499999999999981</v>
      </c>
      <c r="Z58" s="99">
        <f t="shared" si="14"/>
        <v>0.41999999999999982</v>
      </c>
      <c r="AA58" s="99">
        <f t="shared" si="14"/>
        <v>0.35999999999999982</v>
      </c>
      <c r="AB58" s="99">
        <f t="shared" si="14"/>
        <v>0.30499999999999983</v>
      </c>
      <c r="AC58" s="99">
        <f t="shared" si="14"/>
        <v>0.24499999999999983</v>
      </c>
      <c r="AD58" s="99">
        <f t="shared" si="14"/>
        <v>0.18999999999999984</v>
      </c>
      <c r="AE58" s="99">
        <f t="shared" si="14"/>
        <v>0.12999999999999984</v>
      </c>
      <c r="AF58" s="99">
        <f t="shared" si="14"/>
        <v>7.4999999999999845E-2</v>
      </c>
      <c r="AG58" s="99">
        <f t="shared" si="14"/>
        <v>1.4999999999999847E-2</v>
      </c>
    </row>
    <row r="59" spans="1:38">
      <c r="E59" s="90">
        <f>(Прибыль_окупаемость!$D$22+Продажи!$D$50)*E58</f>
        <v>65239566.223418802</v>
      </c>
      <c r="F59" s="90">
        <f>(Прибыль_окупаемость!$D$22+Продажи!$D$50)*F58</f>
        <v>67002797.74297066</v>
      </c>
      <c r="G59" s="90">
        <f>(Прибыль_окупаемость!$D$22+Продажи!$D$50)*G58</f>
        <v>69647645.022298455</v>
      </c>
      <c r="H59" s="90">
        <f>(Прибыль_окупаемость!$D$22+Продажи!$D$50)*H58</f>
        <v>71851684.421738282</v>
      </c>
      <c r="I59" s="90">
        <f>(Прибыль_окупаемость!$D$22+Продажи!$D$50)*I58</f>
        <v>73614915.94129014</v>
      </c>
      <c r="J59" s="90">
        <f>(Прибыль_окупаемость!$D$22+Продажи!$D$50)*J58</f>
        <v>74937339.58095403</v>
      </c>
      <c r="K59" s="90">
        <f>(Прибыль_окупаемость!$D$22+Продажи!$D$50)*K58</f>
        <v>75818955.340729967</v>
      </c>
      <c r="L59" s="90">
        <f>(Прибыль_окупаемость!$D$22+Продажи!$D$50)*L58</f>
        <v>76259763.220617935</v>
      </c>
      <c r="M59" s="90">
        <f>(Прибыль_окупаемость!$D$22+Продажи!$D$50)*M58</f>
        <v>76259763.220617935</v>
      </c>
      <c r="N59" s="90">
        <f>(Прибыль_окупаемость!$D$22+Продажи!$D$50)*N58</f>
        <v>75818955.340729967</v>
      </c>
      <c r="O59" s="90">
        <f>(Прибыль_окупаемость!$D$22+Продажи!$D$50)*O58</f>
        <v>74937339.58095403</v>
      </c>
      <c r="P59" s="90">
        <f>(Прибыль_окупаемость!$D$22+Продажи!$D$50)*P58</f>
        <v>73614915.94129014</v>
      </c>
      <c r="Q59" s="90">
        <f>(Прибыль_окупаемость!$D$22+Продажи!$D$50)*Q58</f>
        <v>71851684.421738282</v>
      </c>
      <c r="R59" s="90">
        <f>(Прибыль_окупаемость!$D$22+Продажи!$D$50)*R58</f>
        <v>69647645.022298455</v>
      </c>
      <c r="S59" s="90">
        <f>(Прибыль_окупаемость!$D$22+Продажи!$D$50)*S58</f>
        <v>67002797.74297066</v>
      </c>
      <c r="T59" s="90">
        <f>(Прибыль_окупаемость!$D$22+Продажи!$D$50)*T58</f>
        <v>63917142.583754905</v>
      </c>
      <c r="U59" s="90">
        <f>(Прибыль_окупаемость!$D$22+Продажи!$D$50)*U58</f>
        <v>60390679.544651181</v>
      </c>
      <c r="V59" s="90">
        <f>(Прибыль_окупаемость!$D$22+Продажи!$D$50)*V58</f>
        <v>56423408.625659496</v>
      </c>
      <c r="W59" s="90">
        <f>(Прибыль_окупаемость!$D$22+Продажи!$D$50)*W58</f>
        <v>52015329.826779842</v>
      </c>
      <c r="X59" s="90">
        <f>(Прибыль_окупаемость!$D$22+Продажи!$D$50)*X58</f>
        <v>47166443.148012228</v>
      </c>
      <c r="Y59" s="90">
        <f>(Прибыль_окупаемость!$D$22+Продажи!$D$50)*Y58</f>
        <v>41876748.589356646</v>
      </c>
      <c r="Z59" s="90">
        <f>(Прибыль_окупаемость!$D$22+Продажи!$D$50)*Z58</f>
        <v>37027861.910589032</v>
      </c>
      <c r="AA59" s="90">
        <f>(Прибыль_окупаемость!$D$22+Продажи!$D$50)*AA58</f>
        <v>31738167.351933457</v>
      </c>
      <c r="AB59" s="90">
        <f>(Прибыль_окупаемость!$D$22+Продажи!$D$50)*AB58</f>
        <v>26889280.673165843</v>
      </c>
      <c r="AC59" s="90">
        <f>(Прибыль_окупаемость!$D$22+Продажи!$D$50)*AC58</f>
        <v>21599586.114510264</v>
      </c>
      <c r="AD59" s="90">
        <f>(Прибыль_окупаемость!$D$22+Продажи!$D$50)*AD58</f>
        <v>16750699.43574265</v>
      </c>
      <c r="AE59" s="90">
        <f>(Прибыль_окупаемость!$D$22+Продажи!$D$50)*AE58</f>
        <v>11461004.877087072</v>
      </c>
      <c r="AF59" s="90">
        <f>(Прибыль_окупаемость!$D$22+Продажи!$D$50)*AF58</f>
        <v>6612118.1983194593</v>
      </c>
      <c r="AG59" s="90">
        <f>(Прибыль_окупаемость!$D$22+Продажи!$D$50)*AG58</f>
        <v>1322423.6396638812</v>
      </c>
    </row>
    <row r="60" spans="1:38" s="95" customFormat="1">
      <c r="F60" s="100">
        <v>0.02</v>
      </c>
      <c r="G60" s="100">
        <v>2.8000000000000001E-2</v>
      </c>
      <c r="H60" s="100">
        <v>0.02</v>
      </c>
      <c r="I60" s="100">
        <v>1.2E-2</v>
      </c>
      <c r="J60" s="100">
        <v>4.0000000000000001E-3</v>
      </c>
      <c r="K60" s="100">
        <v>-4.0000000000000001E-3</v>
      </c>
      <c r="L60" s="100">
        <v>-1.2E-2</v>
      </c>
      <c r="M60" s="100">
        <v>-0.02</v>
      </c>
      <c r="N60" s="100">
        <v>-2.8000000000000001E-2</v>
      </c>
      <c r="O60" s="100">
        <v>-3.5999999999999997E-2</v>
      </c>
      <c r="P60" s="100">
        <v>-4.3999999999999997E-2</v>
      </c>
      <c r="Q60" s="100">
        <v>-5.1999999999999998E-2</v>
      </c>
      <c r="R60" s="100">
        <v>-0.06</v>
      </c>
      <c r="S60" s="100">
        <v>-6.8000000000000005E-2</v>
      </c>
      <c r="T60" s="100">
        <v>-7.5999999999999998E-2</v>
      </c>
      <c r="U60" s="100">
        <v>-8.4000000000000005E-2</v>
      </c>
      <c r="V60" s="100">
        <v>-9.1999999999999998E-2</v>
      </c>
      <c r="W60" s="100">
        <v>-0.1</v>
      </c>
      <c r="X60" s="100">
        <v>-0.108</v>
      </c>
      <c r="Y60" s="100">
        <v>-0.11600000000000001</v>
      </c>
      <c r="Z60" s="100">
        <v>-0.124</v>
      </c>
      <c r="AA60" s="100">
        <v>-0.13200000000000001</v>
      </c>
      <c r="AB60" s="100">
        <v>-0.14000000000000001</v>
      </c>
      <c r="AC60" s="100">
        <v>-0.14799999999999999</v>
      </c>
      <c r="AD60" s="100">
        <v>-0.156</v>
      </c>
      <c r="AE60" s="100">
        <v>-0.16400000000000001</v>
      </c>
      <c r="AF60" s="100">
        <v>-0.17199999999999999</v>
      </c>
      <c r="AG60" s="100">
        <v>-0.18</v>
      </c>
      <c r="AH60" s="100"/>
      <c r="AI60" s="100"/>
      <c r="AJ60" s="100"/>
      <c r="AK60" s="100"/>
      <c r="AL60" s="100"/>
    </row>
    <row r="61" spans="1:38" s="99" customFormat="1">
      <c r="E61" s="99">
        <v>0.74</v>
      </c>
      <c r="F61" s="99">
        <f>E61+F60</f>
        <v>0.76</v>
      </c>
      <c r="G61" s="99">
        <f>F61+G60</f>
        <v>0.78800000000000003</v>
      </c>
      <c r="H61" s="99">
        <f t="shared" ref="H61:AG61" si="15">G61+H60</f>
        <v>0.80800000000000005</v>
      </c>
      <c r="I61" s="99">
        <f t="shared" si="15"/>
        <v>0.82000000000000006</v>
      </c>
      <c r="J61" s="99">
        <f t="shared" si="15"/>
        <v>0.82400000000000007</v>
      </c>
      <c r="K61" s="99">
        <f t="shared" si="15"/>
        <v>0.82000000000000006</v>
      </c>
      <c r="L61" s="99">
        <f t="shared" si="15"/>
        <v>0.80800000000000005</v>
      </c>
      <c r="M61" s="99">
        <f t="shared" si="15"/>
        <v>0.78800000000000003</v>
      </c>
      <c r="N61" s="99">
        <f t="shared" si="15"/>
        <v>0.76</v>
      </c>
      <c r="O61" s="99">
        <f t="shared" si="15"/>
        <v>0.72399999999999998</v>
      </c>
      <c r="P61" s="99">
        <f t="shared" si="15"/>
        <v>0.67999999999999994</v>
      </c>
      <c r="Q61" s="99">
        <f t="shared" si="15"/>
        <v>0.62799999999999989</v>
      </c>
      <c r="R61" s="99">
        <f t="shared" si="15"/>
        <v>0.56799999999999984</v>
      </c>
      <c r="S61" s="99">
        <f t="shared" si="15"/>
        <v>0.49999999999999983</v>
      </c>
      <c r="T61" s="99">
        <f t="shared" si="15"/>
        <v>0.42399999999999982</v>
      </c>
      <c r="U61" s="99">
        <f t="shared" si="15"/>
        <v>0.3399999999999998</v>
      </c>
      <c r="V61" s="99">
        <f t="shared" si="15"/>
        <v>0.2479999999999998</v>
      </c>
      <c r="W61" s="99">
        <f t="shared" si="15"/>
        <v>0.1479999999999998</v>
      </c>
      <c r="X61" s="99">
        <f t="shared" si="15"/>
        <v>3.99999999999998E-2</v>
      </c>
      <c r="Y61" s="99">
        <f t="shared" si="15"/>
        <v>-7.6000000000000206E-2</v>
      </c>
      <c r="Z61" s="99">
        <f t="shared" si="15"/>
        <v>-0.20000000000000021</v>
      </c>
      <c r="AA61" s="99">
        <f t="shared" si="15"/>
        <v>-0.33200000000000018</v>
      </c>
      <c r="AB61" s="99">
        <f t="shared" si="15"/>
        <v>-0.4720000000000002</v>
      </c>
      <c r="AC61" s="99">
        <f t="shared" si="15"/>
        <v>-0.62000000000000022</v>
      </c>
      <c r="AD61" s="99">
        <f t="shared" si="15"/>
        <v>-0.77600000000000025</v>
      </c>
      <c r="AE61" s="99">
        <f t="shared" si="15"/>
        <v>-0.94000000000000028</v>
      </c>
      <c r="AF61" s="99">
        <f t="shared" si="15"/>
        <v>-1.1120000000000003</v>
      </c>
      <c r="AG61" s="99">
        <f t="shared" si="15"/>
        <v>-1.2920000000000003</v>
      </c>
    </row>
    <row r="62" spans="1:38">
      <c r="E62" s="90">
        <f>E61*Прибыль_окупаемость!$F$47</f>
        <v>16019323.52559129</v>
      </c>
      <c r="F62" s="90">
        <f>F61*Прибыль_окупаемость!$F$47</f>
        <v>16452278.215472138</v>
      </c>
      <c r="G62" s="90">
        <f>G61*Прибыль_окупаемость!$F$47</f>
        <v>17058414.781305321</v>
      </c>
      <c r="H62" s="90">
        <f>H61*Прибыль_окупаемость!$F$47</f>
        <v>17491369.471186168</v>
      </c>
      <c r="I62" s="90">
        <f>I61*Прибыль_окупаемость!$F$47</f>
        <v>17751142.285114676</v>
      </c>
      <c r="J62" s="90">
        <f>J61*Прибыль_окупаемость!$F$47</f>
        <v>17837733.223090842</v>
      </c>
      <c r="K62" s="90">
        <f>K61*Прибыль_окупаемость!$F$47</f>
        <v>17751142.285114676</v>
      </c>
      <c r="L62" s="90">
        <f>L61*Прибыль_окупаемость!$F$47</f>
        <v>17491369.471186168</v>
      </c>
      <c r="M62" s="90">
        <f>M61*Прибыль_окупаемость!$F$47</f>
        <v>17058414.781305321</v>
      </c>
      <c r="N62" s="90">
        <f>N61*Прибыль_окупаемость!$F$47</f>
        <v>16452278.215472138</v>
      </c>
      <c r="O62" s="90">
        <f>O61*Прибыль_окупаемость!$F$47</f>
        <v>15672959.773686614</v>
      </c>
      <c r="P62" s="90">
        <f>P61*Прибыль_окупаемость!$F$47</f>
        <v>14720459.455948751</v>
      </c>
      <c r="Q62" s="90">
        <f>Q61*Прибыль_окупаемость!$F$47</f>
        <v>13594777.262258552</v>
      </c>
      <c r="R62" s="90">
        <f>R61*Прибыль_окупаемость!$F$47</f>
        <v>12295913.192616014</v>
      </c>
      <c r="S62" s="90">
        <f>S61*Прибыль_окупаемость!$F$47</f>
        <v>10823867.247021139</v>
      </c>
      <c r="T62" s="90">
        <f>T61*Прибыль_окупаемость!$F$47</f>
        <v>9178639.4254739247</v>
      </c>
      <c r="U62" s="90">
        <f>U61*Прибыль_окупаемость!$F$47</f>
        <v>7360229.7279743729</v>
      </c>
      <c r="V62" s="90">
        <f>V61*Прибыль_окупаемость!$F$47</f>
        <v>5368638.1545224823</v>
      </c>
      <c r="W62" s="90">
        <f>W61*Прибыль_окупаемость!$F$47</f>
        <v>3203864.7051182538</v>
      </c>
      <c r="X62" s="90">
        <f>X61*Прибыль_окупаемость!$F$47</f>
        <v>865909.37976168701</v>
      </c>
      <c r="Y62" s="90">
        <f>Y61*Прибыль_окупаемость!$F$47</f>
        <v>-1645227.8215472181</v>
      </c>
      <c r="Z62" s="90">
        <f>Z61*Прибыль_окупаемость!$F$47</f>
        <v>-4329546.8988084616</v>
      </c>
      <c r="AA62" s="90">
        <f>AA61*Прибыль_окупаемость!$F$47</f>
        <v>-7187047.8520220425</v>
      </c>
      <c r="AB62" s="90">
        <f>AB61*Прибыль_окупаемость!$F$47</f>
        <v>-10217730.681187963</v>
      </c>
      <c r="AC62" s="90">
        <f>AC61*Прибыль_окупаемость!$F$47</f>
        <v>-13421595.386306221</v>
      </c>
      <c r="AD62" s="90">
        <f>AD61*Прибыль_окупаемость!$F$47</f>
        <v>-16798641.967376817</v>
      </c>
      <c r="AE62" s="90">
        <f>AE61*Прибыль_окупаемость!$F$47</f>
        <v>-20348870.424399752</v>
      </c>
      <c r="AF62" s="90">
        <f>AF61*Прибыль_окупаемость!$F$47</f>
        <v>-24072280.757375028</v>
      </c>
      <c r="AG62" s="90">
        <f>AG61*Прибыль_окупаемость!$F$47</f>
        <v>-27968872.966302637</v>
      </c>
    </row>
    <row r="67" spans="14:25">
      <c r="N67" s="90">
        <f>K56/3</f>
        <v>34197808.718672022</v>
      </c>
    </row>
    <row r="68" spans="14:25">
      <c r="N68" s="90">
        <v>100000</v>
      </c>
    </row>
    <row r="78" spans="14:25">
      <c r="P78" s="101"/>
      <c r="Q78" s="102"/>
      <c r="R78" s="102"/>
      <c r="S78" s="102"/>
      <c r="T78" s="102"/>
      <c r="U78" s="102"/>
      <c r="V78" s="102"/>
      <c r="W78" s="102"/>
      <c r="X78" s="102"/>
      <c r="Y78" s="102"/>
    </row>
    <row r="79" spans="14:25">
      <c r="P79" s="103"/>
      <c r="Q79" s="102"/>
      <c r="R79" s="102"/>
      <c r="S79" s="102"/>
      <c r="T79" s="102"/>
      <c r="U79" s="102"/>
      <c r="V79" s="102"/>
      <c r="W79" s="102"/>
      <c r="X79" s="102"/>
      <c r="Y79" s="102"/>
    </row>
    <row r="80" spans="14:25">
      <c r="P80" s="103"/>
      <c r="Q80" s="102"/>
      <c r="R80" s="102"/>
      <c r="S80" s="102"/>
      <c r="T80" s="102"/>
      <c r="U80" s="102"/>
      <c r="V80" s="102"/>
      <c r="W80" s="102"/>
      <c r="X80" s="102"/>
      <c r="Y80" s="102"/>
    </row>
    <row r="81" spans="1:38">
      <c r="P81" s="674"/>
      <c r="Q81" s="104"/>
      <c r="R81" s="104"/>
      <c r="S81" s="104"/>
      <c r="T81" s="104"/>
      <c r="U81" s="104"/>
      <c r="V81" s="104"/>
      <c r="W81" s="104"/>
      <c r="X81" s="104"/>
      <c r="Y81" s="104"/>
    </row>
    <row r="82" spans="1:38">
      <c r="P82" s="675"/>
      <c r="Q82" s="676"/>
      <c r="R82" s="676"/>
      <c r="S82" s="676"/>
      <c r="T82" s="676"/>
      <c r="U82" s="676"/>
      <c r="V82" s="676"/>
      <c r="W82" s="676"/>
      <c r="X82" s="676"/>
      <c r="Y82" s="676"/>
    </row>
    <row r="85" spans="1:38">
      <c r="A85" s="96">
        <f t="shared" ref="A85:L85" si="16">B85-3%</f>
        <v>0.60999999999999965</v>
      </c>
      <c r="B85" s="96">
        <f t="shared" si="16"/>
        <v>0.63999999999999968</v>
      </c>
      <c r="C85" s="96">
        <f t="shared" si="16"/>
        <v>0.66999999999999971</v>
      </c>
      <c r="D85" s="96">
        <f t="shared" si="16"/>
        <v>0.69999999999999973</v>
      </c>
      <c r="E85" s="96">
        <f t="shared" si="16"/>
        <v>0.72999999999999976</v>
      </c>
      <c r="F85" s="96">
        <f t="shared" si="16"/>
        <v>0.75999999999999979</v>
      </c>
      <c r="G85" s="96">
        <f t="shared" si="16"/>
        <v>0.78999999999999981</v>
      </c>
      <c r="H85" s="96">
        <f t="shared" si="16"/>
        <v>0.81999999999999984</v>
      </c>
      <c r="I85" s="96">
        <f t="shared" si="16"/>
        <v>0.84999999999999987</v>
      </c>
      <c r="J85" s="96">
        <f t="shared" si="16"/>
        <v>0.87999999999999989</v>
      </c>
      <c r="K85" s="96">
        <f t="shared" si="16"/>
        <v>0.90999999999999992</v>
      </c>
      <c r="L85" s="96">
        <f t="shared" si="16"/>
        <v>0.94</v>
      </c>
      <c r="M85" s="96">
        <f>N85-3%</f>
        <v>0.97</v>
      </c>
      <c r="N85" s="96">
        <v>1</v>
      </c>
      <c r="O85" s="96">
        <f>N85+3%</f>
        <v>1.03</v>
      </c>
      <c r="P85" s="96">
        <f t="shared" ref="P85:AG85" si="17">O85+3%</f>
        <v>1.06</v>
      </c>
      <c r="Q85" s="96">
        <f t="shared" si="17"/>
        <v>1.0900000000000001</v>
      </c>
      <c r="R85" s="96">
        <f t="shared" si="17"/>
        <v>1.1200000000000001</v>
      </c>
      <c r="S85" s="96">
        <f t="shared" si="17"/>
        <v>1.1500000000000001</v>
      </c>
      <c r="T85" s="96">
        <f t="shared" si="17"/>
        <v>1.1800000000000002</v>
      </c>
      <c r="U85" s="96">
        <f t="shared" si="17"/>
        <v>1.2100000000000002</v>
      </c>
      <c r="V85" s="96">
        <f t="shared" si="17"/>
        <v>1.2400000000000002</v>
      </c>
      <c r="W85" s="96">
        <f t="shared" si="17"/>
        <v>1.2700000000000002</v>
      </c>
      <c r="X85" s="96">
        <f t="shared" si="17"/>
        <v>1.3000000000000003</v>
      </c>
      <c r="Y85" s="96">
        <f t="shared" si="17"/>
        <v>1.3300000000000003</v>
      </c>
      <c r="Z85" s="96">
        <f t="shared" si="17"/>
        <v>1.3600000000000003</v>
      </c>
      <c r="AA85" s="96">
        <f t="shared" si="17"/>
        <v>1.3900000000000003</v>
      </c>
      <c r="AB85" s="96">
        <f t="shared" si="17"/>
        <v>1.4200000000000004</v>
      </c>
      <c r="AC85" s="96">
        <f t="shared" si="17"/>
        <v>1.4500000000000004</v>
      </c>
      <c r="AD85" s="96">
        <f t="shared" si="17"/>
        <v>1.4800000000000004</v>
      </c>
      <c r="AE85" s="96">
        <f t="shared" si="17"/>
        <v>1.5100000000000005</v>
      </c>
      <c r="AF85" s="96">
        <f t="shared" si="17"/>
        <v>1.5400000000000005</v>
      </c>
      <c r="AG85" s="96">
        <f t="shared" si="17"/>
        <v>1.5700000000000005</v>
      </c>
    </row>
    <row r="86" spans="1:38" s="105" customFormat="1">
      <c r="F86" s="106">
        <v>0.02</v>
      </c>
      <c r="G86" s="106">
        <v>2.5000000000000001E-2</v>
      </c>
      <c r="H86" s="106">
        <v>0.03</v>
      </c>
      <c r="I86" s="106">
        <v>2.5000000000000001E-2</v>
      </c>
      <c r="J86" s="106">
        <v>0.02</v>
      </c>
      <c r="K86" s="106">
        <v>1.4999999999999999E-2</v>
      </c>
      <c r="L86" s="106">
        <v>0.01</v>
      </c>
      <c r="M86" s="106">
        <v>5.0000000000000001E-3</v>
      </c>
      <c r="N86" s="106">
        <v>0</v>
      </c>
      <c r="O86" s="106">
        <v>-5.0000000000000001E-3</v>
      </c>
      <c r="P86" s="106">
        <v>-0.01</v>
      </c>
      <c r="Q86" s="106">
        <v>-1.4999999999999999E-2</v>
      </c>
      <c r="R86" s="106">
        <v>-0.02</v>
      </c>
      <c r="S86" s="106">
        <v>-2.5000000000000001E-2</v>
      </c>
      <c r="T86" s="106">
        <v>-0.03</v>
      </c>
      <c r="U86" s="106">
        <v>-3.5000000000000003E-2</v>
      </c>
      <c r="V86" s="106">
        <v>-0.04</v>
      </c>
      <c r="W86" s="106">
        <v>-4.4999999999999998E-2</v>
      </c>
      <c r="X86" s="106">
        <v>-0.05</v>
      </c>
      <c r="Y86" s="106">
        <v>-5.5E-2</v>
      </c>
      <c r="Z86" s="106">
        <v>-0.06</v>
      </c>
      <c r="AA86" s="106">
        <v>-6.4999999999999905E-2</v>
      </c>
      <c r="AB86" s="106">
        <v>-7.0000000000000007E-2</v>
      </c>
      <c r="AC86" s="106">
        <v>-7.4999999999999997E-2</v>
      </c>
      <c r="AD86" s="106">
        <v>-0.08</v>
      </c>
      <c r="AE86" s="106">
        <v>-8.5000000000000006E-2</v>
      </c>
      <c r="AF86" s="106">
        <v>-0.09</v>
      </c>
      <c r="AG86" s="106">
        <v>-9.5000000000000001E-2</v>
      </c>
      <c r="AH86" s="106"/>
      <c r="AI86" s="106"/>
      <c r="AJ86" s="106"/>
      <c r="AK86" s="106"/>
      <c r="AL86" s="106"/>
    </row>
    <row r="87" spans="1:38" s="105" customFormat="1">
      <c r="E87" s="105">
        <v>0.74</v>
      </c>
      <c r="F87" s="105">
        <f>E87+F86</f>
        <v>0.76</v>
      </c>
      <c r="G87" s="105">
        <f t="shared" ref="G87:Q87" si="18">F87+G86</f>
        <v>0.78500000000000003</v>
      </c>
      <c r="H87" s="105">
        <f t="shared" si="18"/>
        <v>0.81500000000000006</v>
      </c>
      <c r="I87" s="105">
        <f t="shared" si="18"/>
        <v>0.84000000000000008</v>
      </c>
      <c r="J87" s="105">
        <f t="shared" si="18"/>
        <v>0.8600000000000001</v>
      </c>
      <c r="K87" s="105">
        <f t="shared" si="18"/>
        <v>0.87500000000000011</v>
      </c>
      <c r="L87" s="105">
        <f t="shared" si="18"/>
        <v>0.88500000000000012</v>
      </c>
      <c r="M87" s="105">
        <f t="shared" si="18"/>
        <v>0.89000000000000012</v>
      </c>
      <c r="N87" s="105">
        <f t="shared" si="18"/>
        <v>0.89000000000000012</v>
      </c>
      <c r="O87" s="105">
        <f t="shared" si="18"/>
        <v>0.88500000000000012</v>
      </c>
      <c r="P87" s="105">
        <f t="shared" si="18"/>
        <v>0.87500000000000011</v>
      </c>
      <c r="Q87" s="105">
        <f t="shared" si="18"/>
        <v>0.8600000000000001</v>
      </c>
      <c r="R87" s="105">
        <f>Q87+R86</f>
        <v>0.84000000000000008</v>
      </c>
      <c r="S87" s="105">
        <f t="shared" ref="S87:AG87" si="19">R87+S86</f>
        <v>0.81500000000000006</v>
      </c>
      <c r="T87" s="105">
        <f t="shared" si="19"/>
        <v>0.78500000000000003</v>
      </c>
      <c r="U87" s="105">
        <f t="shared" si="19"/>
        <v>0.75</v>
      </c>
      <c r="V87" s="105">
        <f t="shared" si="19"/>
        <v>0.71</v>
      </c>
      <c r="W87" s="105">
        <f t="shared" si="19"/>
        <v>0.66499999999999992</v>
      </c>
      <c r="X87" s="105">
        <f t="shared" si="19"/>
        <v>0.61499999999999988</v>
      </c>
      <c r="Y87" s="105">
        <f t="shared" si="19"/>
        <v>0.55999999999999983</v>
      </c>
      <c r="Z87" s="105">
        <f t="shared" si="19"/>
        <v>0.49999999999999983</v>
      </c>
      <c r="AA87" s="105">
        <f t="shared" si="19"/>
        <v>0.43499999999999994</v>
      </c>
      <c r="AB87" s="105">
        <f t="shared" si="19"/>
        <v>0.36499999999999994</v>
      </c>
      <c r="AC87" s="105">
        <f t="shared" si="19"/>
        <v>0.28999999999999992</v>
      </c>
      <c r="AD87" s="105">
        <f t="shared" si="19"/>
        <v>0.20999999999999991</v>
      </c>
      <c r="AE87" s="105">
        <f t="shared" si="19"/>
        <v>0.1249999999999999</v>
      </c>
      <c r="AF87" s="105">
        <f t="shared" si="19"/>
        <v>3.4999999999999906E-2</v>
      </c>
      <c r="AG87" s="105">
        <f t="shared" si="19"/>
        <v>-6.0000000000000095E-2</v>
      </c>
    </row>
    <row r="88" spans="1:38">
      <c r="E88" s="90">
        <f>Прибыль_окупаемость!$D$20*Лист1!E87</f>
        <v>88278064.36680451</v>
      </c>
      <c r="F88" s="90">
        <f>Прибыль_окупаемость!$D$20*Лист1!F87</f>
        <v>90663957.998339772</v>
      </c>
      <c r="G88" s="90">
        <f>Прибыль_окупаемость!$D$20*Лист1!G87</f>
        <v>93646325.037758842</v>
      </c>
      <c r="H88" s="90">
        <f>Прибыль_окупаемость!$D$20*Лист1!H87</f>
        <v>97225165.485061735</v>
      </c>
      <c r="I88" s="90">
        <f>Прибыль_окупаемость!$D$20*Лист1!I87</f>
        <v>100207532.5244808</v>
      </c>
      <c r="J88" s="90">
        <f>Прибыль_окупаемость!$D$20*Лист1!J87</f>
        <v>102593426.15601607</v>
      </c>
      <c r="K88" s="90">
        <f>Прибыль_окупаемость!$D$20*Лист1!K87</f>
        <v>104382846.37966751</v>
      </c>
      <c r="L88" s="90">
        <f>Прибыль_окупаемость!$D$20*Лист1!L87</f>
        <v>105575793.19543514</v>
      </c>
      <c r="M88" s="90">
        <f>Прибыль_окупаемость!$D$20*Лист1!M87</f>
        <v>106172266.60331896</v>
      </c>
      <c r="N88" s="90">
        <f>Прибыль_окупаемость!$D$20*Лист1!N87</f>
        <v>106172266.60331896</v>
      </c>
      <c r="O88" s="90">
        <f>Прибыль_окупаемость!$D$20*Лист1!O87</f>
        <v>105575793.19543514</v>
      </c>
      <c r="P88" s="90">
        <f>Прибыль_окупаемость!$D$20*Лист1!P87</f>
        <v>104382846.37966751</v>
      </c>
      <c r="Q88" s="90">
        <f>Прибыль_окупаемость!$D$20*Лист1!Q87</f>
        <v>102593426.15601607</v>
      </c>
      <c r="R88" s="90">
        <f>Прибыль_окупаемость!$D$20*Лист1!R87</f>
        <v>100207532.5244808</v>
      </c>
      <c r="S88" s="90">
        <f>Прибыль_окупаемость!$D$20*Лист1!S87</f>
        <v>97225165.485061735</v>
      </c>
      <c r="T88" s="90">
        <f>Прибыль_окупаемость!$D$20*Лист1!T87</f>
        <v>93646325.037758842</v>
      </c>
      <c r="U88" s="90">
        <f>Прибыль_окупаемость!$D$20*Лист1!U87</f>
        <v>89471011.182572141</v>
      </c>
      <c r="V88" s="90">
        <f>Прибыль_окупаемость!$D$20*Лист1!V87</f>
        <v>84699223.919501618</v>
      </c>
      <c r="W88" s="90">
        <f>Прибыль_окупаемость!$D$20*Лист1!W87</f>
        <v>79330963.248547286</v>
      </c>
      <c r="X88" s="90">
        <f>Прибыль_окупаемость!$D$20*Лист1!X87</f>
        <v>73366229.169709146</v>
      </c>
      <c r="Y88" s="90">
        <f>Прибыль_окупаемость!$D$20*Лист1!Y87</f>
        <v>66805021.682987176</v>
      </c>
      <c r="Z88" s="90">
        <f>Прибыль_окупаемость!$D$20*Лист1!Z87</f>
        <v>59647340.788381405</v>
      </c>
      <c r="AA88" s="90">
        <f>Прибыль_окупаемость!$D$20*Лист1!AA87</f>
        <v>51893186.485891834</v>
      </c>
      <c r="AB88" s="90">
        <f>Прибыль_окупаемость!$D$20*Лист1!AB87</f>
        <v>43542558.775518432</v>
      </c>
      <c r="AC88" s="90">
        <f>Прибыль_окупаемость!$D$20*Лист1!AC87</f>
        <v>34595457.657261223</v>
      </c>
      <c r="AD88" s="90">
        <f>Прибыль_окупаемость!$D$20*Лист1!AD87</f>
        <v>25051883.13112019</v>
      </c>
      <c r="AE88" s="90">
        <f>Прибыль_окупаемость!$D$20*Лист1!AE87</f>
        <v>14911835.197095346</v>
      </c>
      <c r="AF88" s="90">
        <f>Прибыль_окупаемость!$D$20*Лист1!AF87</f>
        <v>4175313.8551866887</v>
      </c>
      <c r="AG88" s="90">
        <f>Прибыль_окупаемость!$D$20*Лист1!AG87</f>
        <v>-7157680.8946057828</v>
      </c>
    </row>
    <row r="89" spans="1:38" s="95" customFormat="1">
      <c r="F89" s="100">
        <v>0.02</v>
      </c>
      <c r="G89" s="100">
        <v>2.1000000000000001E-2</v>
      </c>
      <c r="H89" s="100">
        <v>2.1999999999999999E-2</v>
      </c>
      <c r="I89" s="100">
        <v>2.3E-2</v>
      </c>
      <c r="J89" s="100">
        <v>2.4E-2</v>
      </c>
      <c r="K89" s="100">
        <v>2.5000000000000001E-2</v>
      </c>
      <c r="L89" s="100">
        <v>2.5999999999999999E-2</v>
      </c>
      <c r="M89" s="100">
        <v>2.7E-2</v>
      </c>
      <c r="N89" s="100">
        <v>2.8000000000000001E-2</v>
      </c>
      <c r="O89" s="100">
        <v>2.9000000000000001E-2</v>
      </c>
      <c r="P89" s="100">
        <v>0.03</v>
      </c>
      <c r="Q89" s="100">
        <v>3.1E-2</v>
      </c>
      <c r="R89" s="100">
        <v>3.2000000000000001E-2</v>
      </c>
      <c r="S89" s="100">
        <v>3.3000000000000002E-2</v>
      </c>
      <c r="T89" s="100">
        <v>3.4000000000000002E-2</v>
      </c>
      <c r="U89" s="100">
        <v>3.5000000000000003E-2</v>
      </c>
      <c r="V89" s="100">
        <v>3.5999999999999997E-2</v>
      </c>
      <c r="W89" s="100">
        <v>3.6999999999999998E-2</v>
      </c>
      <c r="X89" s="100">
        <v>3.7999999999999999E-2</v>
      </c>
      <c r="Y89" s="100">
        <v>3.9E-2</v>
      </c>
      <c r="Z89" s="100">
        <v>0.04</v>
      </c>
      <c r="AA89" s="100">
        <v>4.1000000000000002E-2</v>
      </c>
      <c r="AB89" s="100">
        <v>4.2000000000000003E-2</v>
      </c>
      <c r="AC89" s="100">
        <v>4.2999999999999997E-2</v>
      </c>
      <c r="AD89" s="100">
        <v>4.3999999999999997E-2</v>
      </c>
      <c r="AE89" s="100">
        <v>4.4999999999999998E-2</v>
      </c>
      <c r="AF89" s="100">
        <v>4.5999999999999999E-2</v>
      </c>
      <c r="AG89" s="100">
        <v>4.7E-2</v>
      </c>
      <c r="AH89" s="100"/>
      <c r="AI89" s="100"/>
      <c r="AJ89" s="100"/>
      <c r="AK89" s="100"/>
      <c r="AL89" s="100"/>
    </row>
    <row r="90" spans="1:38" s="99" customFormat="1">
      <c r="E90" s="99">
        <v>0.74</v>
      </c>
      <c r="F90" s="99">
        <f>E90+F89</f>
        <v>0.76</v>
      </c>
      <c r="G90" s="99">
        <f>F90+G89</f>
        <v>0.78100000000000003</v>
      </c>
      <c r="H90" s="99">
        <f t="shared" ref="H90:AG90" si="20">G90+H89</f>
        <v>0.80300000000000005</v>
      </c>
      <c r="I90" s="99">
        <f t="shared" si="20"/>
        <v>0.82600000000000007</v>
      </c>
      <c r="J90" s="99">
        <f t="shared" si="20"/>
        <v>0.85000000000000009</v>
      </c>
      <c r="K90" s="99">
        <f t="shared" si="20"/>
        <v>0.87500000000000011</v>
      </c>
      <c r="L90" s="99">
        <f t="shared" si="20"/>
        <v>0.90100000000000013</v>
      </c>
      <c r="M90" s="99">
        <f t="shared" si="20"/>
        <v>0.92800000000000016</v>
      </c>
      <c r="N90" s="99">
        <f t="shared" si="20"/>
        <v>0.95600000000000018</v>
      </c>
      <c r="O90" s="99">
        <f t="shared" si="20"/>
        <v>0.98500000000000021</v>
      </c>
      <c r="P90" s="99">
        <f t="shared" si="20"/>
        <v>1.0150000000000001</v>
      </c>
      <c r="Q90" s="99">
        <f t="shared" si="20"/>
        <v>1.046</v>
      </c>
      <c r="R90" s="99">
        <f t="shared" si="20"/>
        <v>1.0780000000000001</v>
      </c>
      <c r="S90" s="99">
        <f t="shared" si="20"/>
        <v>1.111</v>
      </c>
      <c r="T90" s="99">
        <f t="shared" si="20"/>
        <v>1.145</v>
      </c>
      <c r="U90" s="99">
        <f t="shared" si="20"/>
        <v>1.18</v>
      </c>
      <c r="V90" s="99">
        <f t="shared" si="20"/>
        <v>1.216</v>
      </c>
      <c r="W90" s="99">
        <f t="shared" si="20"/>
        <v>1.2529999999999999</v>
      </c>
      <c r="X90" s="99">
        <f t="shared" si="20"/>
        <v>1.2909999999999999</v>
      </c>
      <c r="Y90" s="99">
        <f t="shared" si="20"/>
        <v>1.3299999999999998</v>
      </c>
      <c r="Z90" s="99">
        <f t="shared" si="20"/>
        <v>1.3699999999999999</v>
      </c>
      <c r="AA90" s="99">
        <f t="shared" si="20"/>
        <v>1.4109999999999998</v>
      </c>
      <c r="AB90" s="99">
        <f t="shared" si="20"/>
        <v>1.4529999999999998</v>
      </c>
      <c r="AC90" s="99">
        <f t="shared" si="20"/>
        <v>1.4959999999999998</v>
      </c>
      <c r="AD90" s="99">
        <f t="shared" si="20"/>
        <v>1.5399999999999998</v>
      </c>
      <c r="AE90" s="99">
        <f t="shared" si="20"/>
        <v>1.5849999999999997</v>
      </c>
      <c r="AF90" s="99">
        <f t="shared" si="20"/>
        <v>1.6309999999999998</v>
      </c>
      <c r="AG90" s="99">
        <f t="shared" si="20"/>
        <v>1.6779999999999997</v>
      </c>
    </row>
    <row r="91" spans="1:38">
      <c r="E91" s="90">
        <f>E90*(Прибыль_окупаемость!$D$22+Продажи!$D$50)</f>
        <v>65239566.223418802</v>
      </c>
      <c r="F91" s="90">
        <f>F90*(Прибыль_окупаемость!$D$22+Продажи!$D$50)</f>
        <v>67002797.74297066</v>
      </c>
      <c r="G91" s="90">
        <f>G90*(Прибыль_окупаемость!$D$22+Продажи!$D$50)</f>
        <v>68854190.838500112</v>
      </c>
      <c r="H91" s="90">
        <f>H90*(Прибыль_окупаемость!$D$22+Продажи!$D$50)</f>
        <v>70793745.510007158</v>
      </c>
      <c r="I91" s="90">
        <f>I90*(Прибыль_окупаемость!$D$22+Продажи!$D$50)</f>
        <v>72821461.757491797</v>
      </c>
      <c r="J91" s="90">
        <f>J90*(Прибыль_окупаемость!$D$22+Продажи!$D$50)</f>
        <v>74937339.58095403</v>
      </c>
      <c r="K91" s="90">
        <f>K90*(Прибыль_окупаемость!$D$22+Продажи!$D$50)</f>
        <v>77141378.980393857</v>
      </c>
      <c r="L91" s="90">
        <f>L90*(Прибыль_окупаемость!$D$22+Продажи!$D$50)</f>
        <v>79433579.955811277</v>
      </c>
      <c r="M91" s="90">
        <f>M90*(Прибыль_окупаемость!$D$22+Продажи!$D$50)</f>
        <v>81813942.507206291</v>
      </c>
      <c r="N91" s="90">
        <f>N90*(Прибыль_окупаемость!$D$22+Продажи!$D$50)</f>
        <v>84282466.634578899</v>
      </c>
      <c r="O91" s="90">
        <f>O90*(Прибыль_окупаемость!$D$22+Продажи!$D$50)</f>
        <v>86839152.3379291</v>
      </c>
      <c r="P91" s="90">
        <f>P90*(Прибыль_окупаемость!$D$22+Продажи!$D$50)</f>
        <v>89483999.61725688</v>
      </c>
      <c r="Q91" s="90">
        <f>Q90*(Прибыль_окупаемость!$D$22+Продажи!$D$50)</f>
        <v>92217008.472562253</v>
      </c>
      <c r="R91" s="90">
        <f>R90*(Прибыль_окупаемость!$D$22+Продажи!$D$50)</f>
        <v>95038178.903845236</v>
      </c>
      <c r="S91" s="90">
        <f>S90*(Прибыль_окупаемость!$D$22+Продажи!$D$50)</f>
        <v>97947510.911105797</v>
      </c>
      <c r="T91" s="90">
        <f>T90*(Прибыль_окупаемость!$D$22+Продажи!$D$50)</f>
        <v>100945004.49434395</v>
      </c>
      <c r="U91" s="90">
        <f>U90*(Прибыль_окупаемость!$D$22+Продажи!$D$50)</f>
        <v>104030659.6535597</v>
      </c>
      <c r="V91" s="90">
        <f>V90*(Прибыль_окупаемость!$D$22+Продажи!$D$50)</f>
        <v>107204476.38875306</v>
      </c>
      <c r="W91" s="90">
        <f>W90*(Прибыль_окупаемость!$D$22+Продажи!$D$50)</f>
        <v>110466454.69992399</v>
      </c>
      <c r="X91" s="90">
        <f>X90*(Прибыль_окупаемость!$D$22+Продажи!$D$50)</f>
        <v>113816594.58707252</v>
      </c>
      <c r="Y91" s="90">
        <f>Y90*(Прибыль_окупаемость!$D$22+Продажи!$D$50)</f>
        <v>117254896.05019864</v>
      </c>
      <c r="Z91" s="90">
        <f>Z90*(Прибыль_окупаемость!$D$22+Продажи!$D$50)</f>
        <v>120781359.08930236</v>
      </c>
      <c r="AA91" s="90">
        <f>AA90*(Прибыль_окупаемость!$D$22+Продажи!$D$50)</f>
        <v>124395983.70438367</v>
      </c>
      <c r="AB91" s="90">
        <f>AB90*(Прибыль_окупаемость!$D$22+Продажи!$D$50)</f>
        <v>128098769.89544258</v>
      </c>
      <c r="AC91" s="90">
        <f>AC90*(Прибыль_окупаемость!$D$22+Продажи!$D$50)</f>
        <v>131889717.66247907</v>
      </c>
      <c r="AD91" s="90">
        <f>AD90*(Прибыль_окупаемость!$D$22+Продажи!$D$50)</f>
        <v>135768827.00549316</v>
      </c>
      <c r="AE91" s="90">
        <f>AE90*(Прибыль_окупаемость!$D$22+Продажи!$D$50)</f>
        <v>139736097.92448485</v>
      </c>
      <c r="AF91" s="90">
        <f>AF90*(Прибыль_окупаемость!$D$22+Продажи!$D$50)</f>
        <v>143791530.41945413</v>
      </c>
      <c r="AG91" s="90">
        <f>AG90*(Прибыль_окупаемость!$D$22+Продажи!$D$50)</f>
        <v>147935124.490401</v>
      </c>
    </row>
    <row r="92" spans="1:38" s="95" customFormat="1">
      <c r="F92" s="100">
        <v>0.02</v>
      </c>
      <c r="G92" s="100">
        <v>3.5000000000000003E-2</v>
      </c>
      <c r="H92" s="100">
        <v>0.05</v>
      </c>
      <c r="I92" s="100">
        <v>6.5000000000000002E-2</v>
      </c>
      <c r="J92" s="100">
        <v>0.08</v>
      </c>
      <c r="K92" s="100">
        <v>6.5000000000000002E-2</v>
      </c>
      <c r="L92" s="100">
        <v>0.05</v>
      </c>
      <c r="M92" s="100">
        <v>3.5000000000000003E-2</v>
      </c>
      <c r="N92" s="100">
        <v>0.02</v>
      </c>
      <c r="O92" s="100">
        <v>5.0000000000000001E-3</v>
      </c>
      <c r="P92" s="100">
        <v>-0.01</v>
      </c>
      <c r="Q92" s="100">
        <v>-2.5000000000000001E-2</v>
      </c>
      <c r="R92" s="100">
        <v>-0.04</v>
      </c>
      <c r="S92" s="100">
        <v>-5.5E-2</v>
      </c>
      <c r="T92" s="100">
        <v>-7.0000000000000007E-2</v>
      </c>
      <c r="U92" s="100">
        <v>-8.5000000000000006E-2</v>
      </c>
      <c r="V92" s="100">
        <v>-0.1</v>
      </c>
      <c r="W92" s="100">
        <v>-0.115</v>
      </c>
      <c r="X92" s="100">
        <v>-0.13</v>
      </c>
      <c r="Y92" s="100">
        <v>-0.14499999999999999</v>
      </c>
      <c r="Z92" s="100">
        <v>-0.16</v>
      </c>
      <c r="AA92" s="100">
        <v>-0.17499999999999999</v>
      </c>
      <c r="AB92" s="100">
        <v>-0.19</v>
      </c>
      <c r="AC92" s="100">
        <v>-0.20499999999999999</v>
      </c>
      <c r="AD92" s="100">
        <v>-0.22</v>
      </c>
      <c r="AE92" s="100">
        <v>-0.23499999999999999</v>
      </c>
      <c r="AF92" s="100">
        <v>-0.25</v>
      </c>
      <c r="AG92" s="100">
        <v>-0.26500000000000001</v>
      </c>
      <c r="AH92" s="100">
        <v>0.44</v>
      </c>
      <c r="AI92" s="100"/>
      <c r="AJ92" s="100"/>
      <c r="AK92" s="100"/>
      <c r="AL92" s="100"/>
    </row>
    <row r="93" spans="1:38" s="99" customFormat="1">
      <c r="E93" s="99">
        <v>0.74</v>
      </c>
      <c r="F93" s="99">
        <f>E93+F92</f>
        <v>0.76</v>
      </c>
      <c r="G93" s="99">
        <f>F93+G92</f>
        <v>0.79500000000000004</v>
      </c>
      <c r="H93" s="99">
        <f t="shared" ref="H93:AG93" si="21">G93+H92</f>
        <v>0.84500000000000008</v>
      </c>
      <c r="I93" s="99">
        <f t="shared" si="21"/>
        <v>0.91000000000000014</v>
      </c>
      <c r="J93" s="99">
        <f t="shared" si="21"/>
        <v>0.9900000000000001</v>
      </c>
      <c r="K93" s="99">
        <f t="shared" si="21"/>
        <v>1.0550000000000002</v>
      </c>
      <c r="L93" s="99">
        <f t="shared" si="21"/>
        <v>1.1050000000000002</v>
      </c>
      <c r="M93" s="99">
        <f t="shared" si="21"/>
        <v>1.1400000000000001</v>
      </c>
      <c r="N93" s="99">
        <f t="shared" si="21"/>
        <v>1.1600000000000001</v>
      </c>
      <c r="O93" s="99">
        <f t="shared" si="21"/>
        <v>1.165</v>
      </c>
      <c r="P93" s="99">
        <f t="shared" si="21"/>
        <v>1.155</v>
      </c>
      <c r="Q93" s="99">
        <f t="shared" si="21"/>
        <v>1.1300000000000001</v>
      </c>
      <c r="R93" s="99">
        <f t="shared" si="21"/>
        <v>1.0900000000000001</v>
      </c>
      <c r="S93" s="99">
        <f t="shared" si="21"/>
        <v>1.0350000000000001</v>
      </c>
      <c r="T93" s="99">
        <f t="shared" si="21"/>
        <v>0.96500000000000008</v>
      </c>
      <c r="U93" s="99">
        <f t="shared" si="21"/>
        <v>0.88000000000000012</v>
      </c>
      <c r="V93" s="99">
        <f t="shared" si="21"/>
        <v>0.78000000000000014</v>
      </c>
      <c r="W93" s="99">
        <f t="shared" si="21"/>
        <v>0.66500000000000015</v>
      </c>
      <c r="X93" s="99">
        <f t="shared" si="21"/>
        <v>0.53500000000000014</v>
      </c>
      <c r="Y93" s="99">
        <f t="shared" si="21"/>
        <v>0.39000000000000012</v>
      </c>
      <c r="Z93" s="99">
        <f t="shared" si="21"/>
        <v>0.23000000000000012</v>
      </c>
      <c r="AA93" s="99">
        <f t="shared" si="21"/>
        <v>5.5000000000000132E-2</v>
      </c>
      <c r="AB93" s="99">
        <f t="shared" si="21"/>
        <v>-0.13499999999999987</v>
      </c>
      <c r="AC93" s="99">
        <f t="shared" si="21"/>
        <v>-0.33999999999999986</v>
      </c>
      <c r="AD93" s="99">
        <f t="shared" si="21"/>
        <v>-0.55999999999999983</v>
      </c>
      <c r="AE93" s="99">
        <f t="shared" si="21"/>
        <v>-0.79499999999999982</v>
      </c>
      <c r="AF93" s="99">
        <f t="shared" si="21"/>
        <v>-1.0449999999999999</v>
      </c>
      <c r="AG93" s="99">
        <f t="shared" si="21"/>
        <v>-1.31</v>
      </c>
    </row>
    <row r="94" spans="1:38">
      <c r="E94" s="90">
        <f>Прибыль_окупаемость!$F$47*Лист1!E93</f>
        <v>16019323.52559129</v>
      </c>
      <c r="F94" s="90">
        <f>Прибыль_окупаемость!$F$47*Лист1!F93</f>
        <v>16452278.215472138</v>
      </c>
      <c r="G94" s="90">
        <f>Прибыль_окупаемость!$F$47*Лист1!G93</f>
        <v>17209948.922763616</v>
      </c>
      <c r="H94" s="90">
        <f>Прибыль_окупаемость!$F$47*Лист1!H93</f>
        <v>18292335.647465732</v>
      </c>
      <c r="I94" s="90">
        <f>Прибыль_окупаемость!$F$47*Лист1!I93</f>
        <v>19699438.389578484</v>
      </c>
      <c r="J94" s="90">
        <f>Прибыль_окупаемость!$F$47*Лист1!J93</f>
        <v>21431257.149101865</v>
      </c>
      <c r="K94" s="90">
        <f>Прибыль_окупаемость!$F$47*Лист1!K93</f>
        <v>22838359.891214613</v>
      </c>
      <c r="L94" s="90">
        <f>Прибыль_окупаемость!$F$47*Лист1!L93</f>
        <v>23920746.615916729</v>
      </c>
      <c r="M94" s="90">
        <f>Прибыль_окупаемость!$F$47*Лист1!M93</f>
        <v>24678417.323208209</v>
      </c>
      <c r="N94" s="90">
        <f>Прибыль_окупаемость!$F$47*Лист1!N93</f>
        <v>25111372.013089053</v>
      </c>
      <c r="O94" s="90">
        <f>Прибыль_окупаемость!$F$47*Лист1!O93</f>
        <v>25219610.685559262</v>
      </c>
      <c r="P94" s="90">
        <f>Прибыль_окупаемость!$F$47*Лист1!P93</f>
        <v>25003133.340618841</v>
      </c>
      <c r="Q94" s="90">
        <f>Прибыль_окупаемость!$F$47*Лист1!Q93</f>
        <v>24461939.978267785</v>
      </c>
      <c r="R94" s="90">
        <f>Прибыль_окупаемость!$F$47*Лист1!R93</f>
        <v>23596030.598506093</v>
      </c>
      <c r="S94" s="90">
        <f>Прибыль_окупаемость!$F$47*Лист1!S93</f>
        <v>22405405.201333769</v>
      </c>
      <c r="T94" s="90">
        <f>Прибыль_окупаемость!$F$47*Лист1!T93</f>
        <v>20890063.786750808</v>
      </c>
      <c r="U94" s="90">
        <f>Прибыль_окупаемость!$F$47*Лист1!U93</f>
        <v>19050006.354757212</v>
      </c>
      <c r="V94" s="90">
        <f>Прибыль_окупаемость!$F$47*Лист1!V93</f>
        <v>16885232.905352984</v>
      </c>
      <c r="W94" s="90">
        <f>Прибыль_окупаемость!$F$47*Лист1!W93</f>
        <v>14395743.438538123</v>
      </c>
      <c r="X94" s="90">
        <f>Прибыль_окупаемость!$F$47*Лист1!X93</f>
        <v>11581537.954312626</v>
      </c>
      <c r="Y94" s="90">
        <f>Прибыль_окупаемость!$F$47*Лист1!Y93</f>
        <v>8442616.4526764937</v>
      </c>
      <c r="Z94" s="90">
        <f>Прибыль_окупаемость!$F$47*Лист1!Z93</f>
        <v>4978978.9336297279</v>
      </c>
      <c r="AA94" s="90">
        <f>Прибыль_окупаемость!$F$47*Лист1!AA93</f>
        <v>1190625.3971723286</v>
      </c>
      <c r="AB94" s="90">
        <f>Прибыль_окупаемость!$F$47*Лист1!AB93</f>
        <v>-2922444.1566957058</v>
      </c>
      <c r="AC94" s="90">
        <f>Прибыль_окупаемость!$F$47*Лист1!AC93</f>
        <v>-7360229.7279743738</v>
      </c>
      <c r="AD94" s="90">
        <f>Прибыль_окупаемость!$F$47*Лист1!AD93</f>
        <v>-12122731.316663675</v>
      </c>
      <c r="AE94" s="90">
        <f>Прибыль_окупаемость!$F$47*Лист1!AE93</f>
        <v>-17209948.922763612</v>
      </c>
      <c r="AF94" s="90">
        <f>Прибыль_окупаемость!$F$47*Лист1!AF93</f>
        <v>-22621882.546274185</v>
      </c>
      <c r="AG94" s="90">
        <f>Прибыль_окупаемость!$F$47*Лист1!AG93</f>
        <v>-28358532.187195394</v>
      </c>
    </row>
    <row r="101" spans="17:25">
      <c r="Q101" s="96">
        <v>0.2</v>
      </c>
      <c r="R101" s="96">
        <v>0.4</v>
      </c>
      <c r="S101" s="96">
        <v>0.6</v>
      </c>
      <c r="T101" s="96">
        <v>0.8</v>
      </c>
      <c r="U101" s="96">
        <v>1</v>
      </c>
      <c r="V101" s="96">
        <v>1.2</v>
      </c>
      <c r="W101" s="96">
        <v>1.4</v>
      </c>
      <c r="X101" s="96">
        <v>1.6</v>
      </c>
      <c r="Y101" s="96">
        <v>1.8</v>
      </c>
    </row>
    <row r="102" spans="17:25">
      <c r="Q102" s="107">
        <f>Q101*Прибыль_окупаемость!$D$20</f>
        <v>23858936.315352574</v>
      </c>
      <c r="R102" s="107">
        <f>R101*Прибыль_окупаемость!$D$20</f>
        <v>47717872.630705148</v>
      </c>
      <c r="S102" s="107">
        <f>S101*Прибыль_окупаемость!$D$20</f>
        <v>71576808.946057707</v>
      </c>
      <c r="T102" s="107">
        <f>T101*Прибыль_окупаемость!$D$20</f>
        <v>95435745.261410296</v>
      </c>
      <c r="U102" s="107">
        <f>U101*Прибыль_окупаемость!$D$20</f>
        <v>119294681.57676286</v>
      </c>
      <c r="V102" s="107">
        <f>V101*Прибыль_окупаемость!$D$20</f>
        <v>143153617.89211541</v>
      </c>
      <c r="W102" s="107">
        <f>W101*Прибыль_окупаемость!$D$20</f>
        <v>167012554.20746797</v>
      </c>
      <c r="X102" s="107">
        <f>X101*Прибыль_окупаемость!$D$20</f>
        <v>190871490.52282059</v>
      </c>
      <c r="Y102" s="107">
        <f>Y101*Прибыль_окупаемость!$D$20</f>
        <v>214730426.83817315</v>
      </c>
    </row>
    <row r="103" spans="17:25">
      <c r="Q103" s="96">
        <v>0.38</v>
      </c>
      <c r="R103" s="96">
        <v>0.5</v>
      </c>
      <c r="S103" s="96">
        <v>0.65</v>
      </c>
      <c r="T103" s="96">
        <v>0.81</v>
      </c>
      <c r="U103" s="96">
        <v>1</v>
      </c>
      <c r="V103" s="96">
        <v>1.2</v>
      </c>
      <c r="W103" s="96">
        <v>1.45</v>
      </c>
      <c r="X103" s="96">
        <v>1.7</v>
      </c>
      <c r="Y103" s="96">
        <v>2</v>
      </c>
    </row>
    <row r="104" spans="17:25">
      <c r="Q104" s="90">
        <f>Q103*(Прибыль_окупаемость!$D$22+Продажи!$D$50)</f>
        <v>33501398.87148533</v>
      </c>
      <c r="R104" s="90">
        <f>R103*(Прибыль_окупаемость!$D$22+Продажи!$D$50)</f>
        <v>44080787.988796487</v>
      </c>
      <c r="S104" s="90">
        <f>S103*(Прибыль_окупаемость!$D$22+Продажи!$D$50)</f>
        <v>57305024.385435432</v>
      </c>
      <c r="T104" s="90">
        <f>T103*(Прибыль_окупаемость!$D$22+Продажи!$D$50)</f>
        <v>71410876.541850314</v>
      </c>
      <c r="U104" s="90">
        <f>U103*(Прибыль_окупаемость!$D$22+Продажи!$D$50)</f>
        <v>88161575.977592975</v>
      </c>
      <c r="V104" s="90">
        <f>V103*(Прибыль_окупаемость!$D$22+Продажи!$D$50)</f>
        <v>105793891.17311157</v>
      </c>
      <c r="W104" s="90">
        <f>W103*(Прибыль_окупаемость!$D$22+Продажи!$D$50)</f>
        <v>127834285.16750981</v>
      </c>
      <c r="X104" s="90">
        <f>X103*(Прибыль_окупаемость!$D$22+Продажи!$D$50)</f>
        <v>149874679.16190806</v>
      </c>
      <c r="Y104" s="90">
        <f>Y103*(Прибыль_окупаемость!$D$22+Продажи!$D$50)</f>
        <v>176323151.95518595</v>
      </c>
    </row>
    <row r="105" spans="17:25">
      <c r="Q105" s="96">
        <v>0.2</v>
      </c>
      <c r="R105" s="96">
        <v>0.4</v>
      </c>
      <c r="S105" s="96">
        <v>0.63</v>
      </c>
      <c r="T105" s="96">
        <v>0.86</v>
      </c>
      <c r="U105" s="96">
        <v>1</v>
      </c>
      <c r="V105" s="96">
        <v>1.1499999999999999</v>
      </c>
      <c r="W105" s="96">
        <v>1.2</v>
      </c>
      <c r="X105" s="96">
        <v>1.25</v>
      </c>
      <c r="Y105" s="96">
        <v>1.26</v>
      </c>
    </row>
    <row r="106" spans="17:25">
      <c r="Q106" s="90">
        <f>Q105*Прибыль_окупаемость!$F$47</f>
        <v>4329546.898808457</v>
      </c>
      <c r="R106" s="90">
        <f>R105*Прибыль_окупаемость!$F$47</f>
        <v>8659093.7976169139</v>
      </c>
      <c r="S106" s="90">
        <f>S105*Прибыль_окупаемость!$F$47</f>
        <v>13638072.731246639</v>
      </c>
      <c r="T106" s="90">
        <f>T105*Прибыль_окупаемость!$F$47</f>
        <v>18617051.664876364</v>
      </c>
      <c r="U106" s="90">
        <f>U105*Прибыль_окупаемость!$F$47</f>
        <v>21647734.494042285</v>
      </c>
      <c r="V106" s="90">
        <f>V105*Прибыль_окупаемость!$F$47</f>
        <v>24894894.668148626</v>
      </c>
      <c r="W106" s="90">
        <f>W105*Прибыль_окупаемость!$F$47</f>
        <v>25977281.392850742</v>
      </c>
      <c r="X106" s="90">
        <f>X105*Прибыль_окупаемость!$F$47</f>
        <v>27059668.117552854</v>
      </c>
      <c r="Y106" s="90">
        <f>Y105*Прибыль_окупаемость!$F$47</f>
        <v>27276145.462493278</v>
      </c>
    </row>
  </sheetData>
  <sheetProtection sheet="1" objects="1" scenarios="1" selectLockedCells="1" selectUnlockedCells="1"/>
  <mergeCells count="2">
    <mergeCell ref="P81:P82"/>
    <mergeCell ref="Q82:Y8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Лист2">
    <tabColor rgb="FF3AAA35"/>
  </sheetPr>
  <dimension ref="A1:AT3"/>
  <sheetViews>
    <sheetView showGridLines="0" zoomScale="75" zoomScaleNormal="75" workbookViewId="0"/>
  </sheetViews>
  <sheetFormatPr defaultRowHeight="15"/>
  <cols>
    <col min="1" max="40" width="9.5703125" style="124" customWidth="1"/>
    <col min="41" max="46" width="9.140625" style="124"/>
    <col min="47" max="16384" width="9.140625" style="86"/>
  </cols>
  <sheetData>
    <row r="1" spans="1:23">
      <c r="A1" s="127"/>
      <c r="V1" s="125"/>
      <c r="W1" s="125"/>
    </row>
    <row r="3" spans="1:23">
      <c r="L3" s="125"/>
      <c r="S3" s="126"/>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sheetPr codeName="Лист3">
    <tabColor rgb="FF3AAA35"/>
    <pageSetUpPr fitToPage="1"/>
  </sheetPr>
  <dimension ref="A1:L33"/>
  <sheetViews>
    <sheetView showGridLines="0" zoomScale="75" zoomScaleNormal="75" workbookViewId="0">
      <selection activeCell="C34" sqref="C34"/>
    </sheetView>
  </sheetViews>
  <sheetFormatPr defaultColWidth="15.140625" defaultRowHeight="15" customHeight="1"/>
  <cols>
    <col min="1" max="2" width="10.7109375" style="133" customWidth="1"/>
    <col min="3" max="3" width="41.85546875" style="136" customWidth="1"/>
    <col min="4" max="4" width="16.5703125" style="136" customWidth="1"/>
    <col min="5" max="5" width="30.85546875" style="136" customWidth="1"/>
    <col min="6" max="6" width="15.5703125" style="136" customWidth="1"/>
    <col min="7" max="7" width="31.140625" style="133" customWidth="1"/>
    <col min="8" max="8" width="10.7109375" style="136" customWidth="1"/>
    <col min="9" max="10" width="15.140625" style="136"/>
    <col min="11" max="16384" width="15.140625" style="2"/>
  </cols>
  <sheetData>
    <row r="1" spans="1:12" ht="15.75" thickBot="1">
      <c r="C1" s="134"/>
      <c r="D1" s="134"/>
      <c r="E1" s="135"/>
      <c r="F1" s="135"/>
      <c r="G1" s="135"/>
    </row>
    <row r="2" spans="1:12">
      <c r="B2" s="137"/>
      <c r="C2" s="138"/>
      <c r="D2" s="138"/>
      <c r="E2" s="139"/>
      <c r="F2" s="139"/>
      <c r="G2" s="139"/>
      <c r="H2" s="140"/>
    </row>
    <row r="3" spans="1:12" ht="20.25">
      <c r="B3" s="517"/>
      <c r="C3" s="518"/>
      <c r="D3" s="518"/>
      <c r="E3" s="518"/>
      <c r="F3" s="518"/>
      <c r="G3" s="518"/>
      <c r="H3" s="141"/>
    </row>
    <row r="4" spans="1:12" ht="30.75" customHeight="1">
      <c r="B4" s="519"/>
      <c r="C4" s="520"/>
      <c r="D4" s="520"/>
      <c r="E4" s="520"/>
      <c r="F4" s="520"/>
      <c r="G4" s="520"/>
      <c r="H4" s="141"/>
    </row>
    <row r="5" spans="1:12" ht="84.75" customHeight="1">
      <c r="B5" s="142"/>
      <c r="C5" s="134"/>
      <c r="D5" s="134"/>
      <c r="E5" s="143"/>
      <c r="F5" s="135"/>
      <c r="G5" s="135"/>
      <c r="H5" s="144"/>
      <c r="L5" s="88"/>
    </row>
    <row r="6" spans="1:12" s="89" customFormat="1" ht="15" customHeight="1">
      <c r="A6" s="133"/>
      <c r="B6" s="142"/>
      <c r="C6" s="134"/>
      <c r="D6" s="134"/>
      <c r="E6" s="136"/>
      <c r="F6" s="446" t="s">
        <v>109</v>
      </c>
      <c r="G6" s="136"/>
      <c r="H6" s="144"/>
      <c r="I6" s="136"/>
      <c r="J6" s="136"/>
    </row>
    <row r="7" spans="1:12" ht="15" customHeight="1">
      <c r="B7" s="142"/>
      <c r="C7" s="145"/>
      <c r="D7" s="146"/>
      <c r="F7" s="469"/>
      <c r="G7" s="444" t="s">
        <v>4</v>
      </c>
      <c r="H7" s="141"/>
    </row>
    <row r="8" spans="1:12" ht="15" customHeight="1">
      <c r="B8" s="142"/>
      <c r="C8" s="145"/>
      <c r="D8" s="133"/>
      <c r="F8" s="147"/>
      <c r="G8" s="148" t="s">
        <v>5</v>
      </c>
      <c r="H8" s="141"/>
    </row>
    <row r="9" spans="1:12" s="109" customFormat="1" ht="22.5" customHeight="1" thickBot="1">
      <c r="A9" s="133"/>
      <c r="B9" s="142"/>
      <c r="C9" s="133"/>
      <c r="D9" s="135"/>
      <c r="E9" s="135"/>
      <c r="F9" s="135"/>
      <c r="G9" s="133"/>
      <c r="H9" s="144"/>
      <c r="I9" s="136"/>
      <c r="J9" s="136"/>
    </row>
    <row r="10" spans="1:12" s="121" customFormat="1" ht="21" customHeight="1">
      <c r="A10" s="149"/>
      <c r="B10" s="150"/>
      <c r="C10" s="530" t="s">
        <v>161</v>
      </c>
      <c r="D10" s="530"/>
      <c r="E10" s="530"/>
      <c r="F10" s="530"/>
      <c r="G10" s="530"/>
      <c r="H10" s="151"/>
      <c r="I10" s="152"/>
      <c r="J10" s="152"/>
    </row>
    <row r="11" spans="1:12" s="121" customFormat="1" ht="21" customHeight="1">
      <c r="A11" s="149"/>
      <c r="B11" s="150"/>
      <c r="C11" s="531"/>
      <c r="D11" s="531"/>
      <c r="E11" s="531"/>
      <c r="F11" s="531"/>
      <c r="G11" s="531"/>
      <c r="H11" s="151"/>
      <c r="I11" s="152"/>
      <c r="J11" s="152"/>
    </row>
    <row r="12" spans="1:12" s="121" customFormat="1" ht="21" customHeight="1">
      <c r="A12" s="149"/>
      <c r="B12" s="150"/>
      <c r="C12" s="531"/>
      <c r="D12" s="531"/>
      <c r="E12" s="531"/>
      <c r="F12" s="531"/>
      <c r="G12" s="531"/>
      <c r="H12" s="151"/>
      <c r="I12" s="152"/>
      <c r="J12" s="152"/>
    </row>
    <row r="13" spans="1:12" s="121" customFormat="1" ht="21" customHeight="1">
      <c r="A13" s="149"/>
      <c r="B13" s="150"/>
      <c r="C13" s="532" t="s">
        <v>130</v>
      </c>
      <c r="D13" s="532"/>
      <c r="E13" s="532"/>
      <c r="F13" s="532"/>
      <c r="G13" s="532"/>
      <c r="H13" s="151"/>
      <c r="I13" s="152"/>
      <c r="J13" s="152"/>
    </row>
    <row r="14" spans="1:12" s="121" customFormat="1" ht="21" customHeight="1">
      <c r="A14" s="149"/>
      <c r="B14" s="150"/>
      <c r="C14" s="531"/>
      <c r="D14" s="531"/>
      <c r="E14" s="531"/>
      <c r="F14" s="531"/>
      <c r="G14" s="531"/>
      <c r="H14" s="151"/>
      <c r="I14" s="152"/>
      <c r="J14" s="152"/>
    </row>
    <row r="15" spans="1:12" s="121" customFormat="1" ht="21" customHeight="1">
      <c r="A15" s="149"/>
      <c r="B15" s="150"/>
      <c r="C15" s="531"/>
      <c r="D15" s="531"/>
      <c r="E15" s="531"/>
      <c r="F15" s="531"/>
      <c r="G15" s="531"/>
      <c r="H15" s="151"/>
      <c r="I15" s="152"/>
      <c r="J15" s="152"/>
    </row>
    <row r="16" spans="1:12" s="121" customFormat="1" ht="21" customHeight="1">
      <c r="A16" s="149"/>
      <c r="B16" s="150"/>
      <c r="C16" s="531"/>
      <c r="D16" s="531"/>
      <c r="E16" s="531"/>
      <c r="F16" s="531"/>
      <c r="G16" s="531"/>
      <c r="H16" s="151"/>
      <c r="I16" s="152"/>
      <c r="J16" s="152"/>
    </row>
    <row r="17" spans="1:10" s="121" customFormat="1" ht="21" customHeight="1">
      <c r="A17" s="149"/>
      <c r="B17" s="150"/>
      <c r="C17" s="532" t="s">
        <v>131</v>
      </c>
      <c r="D17" s="532"/>
      <c r="E17" s="532"/>
      <c r="F17" s="532"/>
      <c r="G17" s="532"/>
      <c r="H17" s="151"/>
      <c r="I17" s="152"/>
      <c r="J17" s="152"/>
    </row>
    <row r="18" spans="1:10" s="121" customFormat="1" ht="21" customHeight="1" thickBot="1">
      <c r="A18" s="149"/>
      <c r="B18" s="150"/>
      <c r="C18" s="533"/>
      <c r="D18" s="533"/>
      <c r="E18" s="533"/>
      <c r="F18" s="533"/>
      <c r="G18" s="533"/>
      <c r="H18" s="151"/>
      <c r="I18" s="152"/>
      <c r="J18" s="152"/>
    </row>
    <row r="19" spans="1:10" s="109" customFormat="1" ht="22.5" customHeight="1">
      <c r="A19" s="133"/>
      <c r="B19" s="142"/>
      <c r="C19" s="417"/>
      <c r="D19" s="418"/>
      <c r="E19" s="418"/>
      <c r="F19" s="419"/>
      <c r="G19" s="420"/>
      <c r="H19" s="144"/>
      <c r="I19" s="136"/>
      <c r="J19" s="136"/>
    </row>
    <row r="20" spans="1:10" ht="31.5" customHeight="1">
      <c r="B20" s="142"/>
      <c r="C20" s="153" t="s">
        <v>54</v>
      </c>
      <c r="D20" s="153" t="s">
        <v>113</v>
      </c>
      <c r="E20" s="153" t="s">
        <v>0</v>
      </c>
      <c r="F20" s="154"/>
      <c r="H20" s="141"/>
    </row>
    <row r="21" spans="1:10" s="108" customFormat="1" ht="31.5" customHeight="1">
      <c r="A21" s="133"/>
      <c r="B21" s="142"/>
      <c r="C21" s="521" t="s">
        <v>67</v>
      </c>
      <c r="D21" s="522"/>
      <c r="E21" s="477" t="s">
        <v>162</v>
      </c>
      <c r="F21" s="525"/>
      <c r="G21" s="526"/>
      <c r="H21" s="527"/>
      <c r="I21" s="136"/>
      <c r="J21" s="136"/>
    </row>
    <row r="22" spans="1:10" s="109" customFormat="1" ht="31.5" customHeight="1">
      <c r="A22" s="133"/>
      <c r="B22" s="142"/>
      <c r="C22" s="459" t="s">
        <v>169</v>
      </c>
      <c r="D22" s="476"/>
      <c r="E22" s="479">
        <f>IF(E21="СВОЯ СЕТЬ",3,1)</f>
        <v>3</v>
      </c>
      <c r="F22" s="460"/>
      <c r="G22" s="460"/>
      <c r="H22" s="461"/>
      <c r="I22" s="136"/>
      <c r="J22" s="136"/>
    </row>
    <row r="23" spans="1:10" s="109" customFormat="1" ht="31.5" customHeight="1">
      <c r="A23" s="133"/>
      <c r="B23" s="142"/>
      <c r="C23" s="521" t="s">
        <v>110</v>
      </c>
      <c r="D23" s="522"/>
      <c r="E23" s="478" t="s">
        <v>207</v>
      </c>
      <c r="F23" s="435"/>
      <c r="G23" s="436"/>
      <c r="H23" s="437"/>
      <c r="I23" s="136"/>
      <c r="J23" s="136"/>
    </row>
    <row r="24" spans="1:10" s="109" customFormat="1" ht="31.5" customHeight="1">
      <c r="A24" s="133"/>
      <c r="B24" s="142"/>
      <c r="C24" s="433" t="s">
        <v>102</v>
      </c>
      <c r="D24" s="155" t="s">
        <v>100</v>
      </c>
      <c r="E24" s="472">
        <v>42826</v>
      </c>
      <c r="F24" s="435"/>
      <c r="G24" s="436"/>
      <c r="H24" s="437"/>
      <c r="I24" s="136"/>
      <c r="J24" s="136"/>
    </row>
    <row r="25" spans="1:10" ht="31.5" customHeight="1">
      <c r="B25" s="142"/>
      <c r="C25" s="433" t="str">
        <f>IF(E21="СВОЯ СЕТЬ","Сумма арендуемых площадей", "Площадь помещения")</f>
        <v>Сумма арендуемых площадей</v>
      </c>
      <c r="D25" s="156" t="s">
        <v>98</v>
      </c>
      <c r="E25" s="473">
        <f>IF(E21="СВОЯ СЕТЬ", 210,70)</f>
        <v>210</v>
      </c>
      <c r="F25" s="528"/>
      <c r="G25" s="523"/>
      <c r="H25" s="529"/>
    </row>
    <row r="26" spans="1:10" s="12" customFormat="1" ht="31.5" customHeight="1">
      <c r="A26" s="133"/>
      <c r="B26" s="142"/>
      <c r="C26" s="157" t="s">
        <v>85</v>
      </c>
      <c r="D26" s="156" t="s">
        <v>7</v>
      </c>
      <c r="E26" s="474">
        <v>500</v>
      </c>
      <c r="F26" s="528" t="s">
        <v>92</v>
      </c>
      <c r="G26" s="523"/>
      <c r="H26" s="529"/>
      <c r="I26" s="136"/>
      <c r="J26" s="136"/>
    </row>
    <row r="27" spans="1:10" ht="31.5" customHeight="1">
      <c r="B27" s="142"/>
      <c r="C27" s="157" t="s">
        <v>30</v>
      </c>
      <c r="D27" s="158" t="s">
        <v>7</v>
      </c>
      <c r="E27" s="475">
        <v>0</v>
      </c>
      <c r="F27" s="523" t="s">
        <v>93</v>
      </c>
      <c r="G27" s="523"/>
      <c r="H27" s="159"/>
    </row>
    <row r="28" spans="1:10" ht="31.5" customHeight="1">
      <c r="B28" s="142"/>
      <c r="C28" s="157" t="s">
        <v>48</v>
      </c>
      <c r="D28" s="158" t="s">
        <v>49</v>
      </c>
      <c r="E28" s="475">
        <v>18</v>
      </c>
      <c r="F28" s="524"/>
      <c r="G28" s="524"/>
      <c r="H28" s="141"/>
    </row>
    <row r="29" spans="1:10" s="109" customFormat="1" ht="31.5" customHeight="1">
      <c r="A29" s="133"/>
      <c r="B29" s="142"/>
      <c r="C29" s="157" t="s">
        <v>115</v>
      </c>
      <c r="D29" s="158" t="s">
        <v>100</v>
      </c>
      <c r="E29" s="475">
        <v>10</v>
      </c>
      <c r="F29" s="434"/>
      <c r="G29" s="434"/>
      <c r="H29" s="141"/>
      <c r="I29" s="136"/>
      <c r="J29" s="136"/>
    </row>
    <row r="30" spans="1:10" ht="23.25" customHeight="1" thickBot="1">
      <c r="B30" s="160"/>
      <c r="C30" s="161"/>
      <c r="D30" s="161"/>
      <c r="E30" s="161"/>
      <c r="F30" s="161"/>
      <c r="G30" s="161"/>
      <c r="H30" s="162"/>
    </row>
    <row r="31" spans="1:10" ht="15" customHeight="1">
      <c r="C31" s="133"/>
      <c r="D31" s="133"/>
      <c r="E31" s="133"/>
      <c r="F31" s="133"/>
    </row>
    <row r="32" spans="1:10" ht="15" customHeight="1">
      <c r="C32" s="133"/>
      <c r="D32" s="133"/>
      <c r="E32" s="133"/>
    </row>
    <row r="33" spans="3:5" ht="15" customHeight="1">
      <c r="C33" s="133"/>
      <c r="D33" s="133"/>
      <c r="E33" s="133"/>
    </row>
  </sheetData>
  <mergeCells count="12">
    <mergeCell ref="B3:G3"/>
    <mergeCell ref="B4:G4"/>
    <mergeCell ref="C21:D21"/>
    <mergeCell ref="F27:G27"/>
    <mergeCell ref="F28:G28"/>
    <mergeCell ref="F21:H21"/>
    <mergeCell ref="F25:H25"/>
    <mergeCell ref="F26:H26"/>
    <mergeCell ref="C23:D23"/>
    <mergeCell ref="C10:G12"/>
    <mergeCell ref="C13:G16"/>
    <mergeCell ref="C17:G18"/>
  </mergeCells>
  <dataValidations xWindow="529" yWindow="573" count="3">
    <dataValidation type="list" allowBlank="1" showInputMessage="1" showErrorMessage="1" sqref="E23">
      <formula1>"УСН 6%,ЕНВД,УСН 15%"</formula1>
    </dataValidation>
    <dataValidation type="list" allowBlank="1" showInputMessage="1" showErrorMessage="1" promptTitle="РЕКОМЕНДАЦИЯ" prompt="Вы можете ознакомиться с пакетами франшизы, нажав кнопу &quot;ПОДРОБНЕЕ&quot;" sqref="E21">
      <formula1>"БЫСТРЫЙ СТАРТ,СВОЯ СЕТЬ,БИЗНЕС ПОД КЛЮЧ"</formula1>
    </dataValidation>
    <dataValidation allowBlank="1" showInputMessage="1" showErrorMessage="1" promptTitle="РЕКОМЕНДАЦИЯ" prompt="Оптимальная площадь 1-ой точки от 60 кв. м" sqref="E25"/>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xWindow="529" yWindow="573" count="1">
        <x14:dataValidation type="list" allowBlank="1" showInputMessage="1" showErrorMessage="1">
          <x14:formula1>
            <xm:f>Сезон!$B$2:$B$13</xm:f>
          </x14:formula1>
          <xm:sqref>E24</xm:sqref>
        </x14:dataValidation>
      </x14:dataValidations>
    </ext>
  </extLst>
</worksheet>
</file>

<file path=xl/worksheets/sheet4.xml><?xml version="1.0" encoding="utf-8"?>
<worksheet xmlns="http://schemas.openxmlformats.org/spreadsheetml/2006/main" xmlns:r="http://schemas.openxmlformats.org/officeDocument/2006/relationships">
  <sheetPr codeName="Лист4">
    <tabColor rgb="FF3AAA35"/>
  </sheetPr>
  <dimension ref="A1:O29"/>
  <sheetViews>
    <sheetView showGridLines="0" zoomScale="75" zoomScaleNormal="75" workbookViewId="0"/>
  </sheetViews>
  <sheetFormatPr defaultColWidth="15.140625" defaultRowHeight="15"/>
  <cols>
    <col min="1" max="1" width="10.7109375" style="180" customWidth="1"/>
    <col min="2" max="2" width="16.85546875" style="180" customWidth="1"/>
    <col min="3" max="9" width="16.85546875" style="181" customWidth="1"/>
    <col min="10" max="11" width="16.85546875" style="180" customWidth="1"/>
    <col min="12" max="12" width="15" style="180" customWidth="1"/>
    <col min="13" max="15" width="15" style="181" customWidth="1"/>
    <col min="16" max="18" width="15" style="6" customWidth="1"/>
    <col min="19" max="16384" width="15.140625" style="6"/>
  </cols>
  <sheetData>
    <row r="1" spans="1:15" ht="14.25" customHeight="1" thickBot="1">
      <c r="A1" s="182"/>
      <c r="B1" s="164"/>
      <c r="C1" s="165"/>
      <c r="D1" s="165"/>
      <c r="E1" s="165"/>
      <c r="F1" s="165"/>
      <c r="G1" s="165"/>
      <c r="H1" s="165"/>
      <c r="I1" s="165"/>
      <c r="J1" s="165"/>
      <c r="K1" s="165"/>
      <c r="L1" s="164"/>
      <c r="M1" s="163"/>
      <c r="N1" s="163"/>
      <c r="O1" s="163"/>
    </row>
    <row r="2" spans="1:15" ht="20.25">
      <c r="A2" s="163"/>
      <c r="B2" s="535"/>
      <c r="C2" s="536"/>
      <c r="D2" s="536"/>
      <c r="E2" s="536"/>
      <c r="F2" s="536"/>
      <c r="G2" s="536"/>
      <c r="H2" s="536"/>
      <c r="I2" s="536"/>
      <c r="J2" s="536"/>
      <c r="K2" s="166"/>
      <c r="L2" s="164"/>
      <c r="M2" s="164"/>
      <c r="N2" s="163"/>
      <c r="O2" s="163"/>
    </row>
    <row r="3" spans="1:15" ht="20.25">
      <c r="A3" s="163"/>
      <c r="B3" s="537"/>
      <c r="C3" s="538"/>
      <c r="D3" s="538"/>
      <c r="E3" s="538"/>
      <c r="F3" s="538"/>
      <c r="G3" s="538"/>
      <c r="H3" s="538"/>
      <c r="I3" s="538"/>
      <c r="J3" s="538"/>
      <c r="K3" s="167"/>
      <c r="L3" s="164"/>
      <c r="M3" s="164"/>
      <c r="N3" s="163"/>
      <c r="O3" s="163"/>
    </row>
    <row r="4" spans="1:15" ht="63" customHeight="1">
      <c r="A4" s="163"/>
      <c r="B4" s="168"/>
      <c r="C4" s="165"/>
      <c r="D4" s="165"/>
      <c r="E4" s="165"/>
      <c r="F4" s="165"/>
      <c r="G4" s="165"/>
      <c r="H4" s="165"/>
      <c r="I4" s="165"/>
      <c r="J4" s="165"/>
      <c r="K4" s="169"/>
      <c r="L4" s="164"/>
      <c r="M4" s="164"/>
      <c r="N4" s="163"/>
      <c r="O4" s="163"/>
    </row>
    <row r="5" spans="1:15" ht="63" customHeight="1">
      <c r="A5" s="163"/>
      <c r="B5" s="168"/>
      <c r="C5" s="170"/>
      <c r="D5" s="170"/>
      <c r="E5" s="170"/>
      <c r="F5" s="170"/>
      <c r="G5" s="170"/>
      <c r="H5" s="170"/>
      <c r="I5" s="170"/>
      <c r="J5" s="165"/>
      <c r="K5" s="169"/>
      <c r="L5" s="164"/>
      <c r="M5" s="164"/>
      <c r="N5" s="163"/>
      <c r="O5" s="163"/>
    </row>
    <row r="6" spans="1:15" ht="49.5" customHeight="1" thickBot="1">
      <c r="A6" s="163"/>
      <c r="B6" s="168"/>
      <c r="C6" s="170"/>
      <c r="D6" s="170"/>
      <c r="E6" s="170"/>
      <c r="F6" s="170"/>
      <c r="G6" s="170"/>
      <c r="H6" s="170"/>
      <c r="I6" s="170"/>
      <c r="J6" s="165"/>
      <c r="K6" s="169"/>
      <c r="L6" s="164"/>
      <c r="M6" s="164"/>
      <c r="N6" s="163"/>
      <c r="O6" s="163"/>
    </row>
    <row r="7" spans="1:15" ht="36" customHeight="1">
      <c r="A7" s="163"/>
      <c r="B7" s="168"/>
      <c r="C7" s="539" t="s">
        <v>132</v>
      </c>
      <c r="D7" s="539"/>
      <c r="E7" s="539"/>
      <c r="F7" s="539"/>
      <c r="G7" s="539"/>
      <c r="H7" s="539"/>
      <c r="I7" s="539"/>
      <c r="J7" s="539"/>
      <c r="K7" s="169"/>
      <c r="L7" s="164"/>
      <c r="M7" s="164"/>
      <c r="N7" s="171"/>
      <c r="O7" s="163"/>
    </row>
    <row r="8" spans="1:15" ht="36" customHeight="1" thickBot="1">
      <c r="A8" s="163"/>
      <c r="B8" s="168"/>
      <c r="C8" s="540"/>
      <c r="D8" s="540"/>
      <c r="E8" s="540"/>
      <c r="F8" s="540"/>
      <c r="G8" s="540"/>
      <c r="H8" s="540"/>
      <c r="I8" s="540"/>
      <c r="J8" s="540"/>
      <c r="K8" s="169"/>
      <c r="L8" s="164"/>
      <c r="M8" s="164"/>
      <c r="N8" s="171"/>
      <c r="O8" s="163"/>
    </row>
    <row r="9" spans="1:15" ht="15" customHeight="1">
      <c r="A9" s="163"/>
      <c r="B9" s="168"/>
      <c r="C9" s="172"/>
      <c r="D9" s="173"/>
      <c r="E9" s="174"/>
      <c r="F9" s="173"/>
      <c r="G9" s="173"/>
      <c r="H9" s="173"/>
      <c r="I9" s="173"/>
      <c r="J9" s="165"/>
      <c r="K9" s="169"/>
      <c r="L9" s="164"/>
      <c r="M9" s="164"/>
      <c r="N9" s="171"/>
      <c r="O9" s="163"/>
    </row>
    <row r="10" spans="1:15" ht="24.75" customHeight="1">
      <c r="A10" s="163"/>
      <c r="B10" s="168"/>
      <c r="C10" s="175"/>
      <c r="D10" s="175"/>
      <c r="E10" s="534"/>
      <c r="F10" s="534"/>
      <c r="G10" s="534"/>
      <c r="H10" s="534"/>
      <c r="I10" s="534"/>
      <c r="J10" s="165"/>
      <c r="K10" s="169"/>
      <c r="L10" s="164"/>
      <c r="M10" s="164"/>
      <c r="N10" s="163"/>
      <c r="O10" s="163"/>
    </row>
    <row r="11" spans="1:15" ht="23.25" customHeight="1">
      <c r="A11" s="163"/>
      <c r="B11" s="168"/>
      <c r="C11" s="175"/>
      <c r="D11" s="164"/>
      <c r="E11" s="175"/>
      <c r="F11" s="534"/>
      <c r="G11" s="534"/>
      <c r="H11" s="534"/>
      <c r="I11" s="534"/>
      <c r="J11" s="165"/>
      <c r="K11" s="169"/>
      <c r="L11" s="164"/>
      <c r="M11" s="164"/>
      <c r="N11" s="163"/>
      <c r="O11" s="163"/>
    </row>
    <row r="12" spans="1:15" ht="40.5" customHeight="1">
      <c r="A12" s="163"/>
      <c r="B12" s="168"/>
      <c r="C12" s="175"/>
      <c r="D12" s="164"/>
      <c r="E12" s="175"/>
      <c r="F12" s="534"/>
      <c r="G12" s="534"/>
      <c r="H12" s="534"/>
      <c r="I12" s="534"/>
      <c r="J12" s="165"/>
      <c r="K12" s="169"/>
      <c r="L12" s="164"/>
      <c r="M12" s="164"/>
      <c r="N12" s="163"/>
      <c r="O12" s="163"/>
    </row>
    <row r="13" spans="1:15" ht="40.5" customHeight="1">
      <c r="A13" s="163"/>
      <c r="B13" s="168"/>
      <c r="C13" s="175"/>
      <c r="D13" s="164"/>
      <c r="E13" s="175"/>
      <c r="F13" s="173"/>
      <c r="G13" s="173"/>
      <c r="H13" s="173"/>
      <c r="I13" s="173"/>
      <c r="J13" s="165"/>
      <c r="K13" s="169"/>
      <c r="L13" s="164"/>
      <c r="M13" s="164"/>
      <c r="N13" s="163"/>
      <c r="O13" s="163"/>
    </row>
    <row r="14" spans="1:15" ht="40.5" customHeight="1">
      <c r="A14" s="163"/>
      <c r="B14" s="168"/>
      <c r="C14" s="175"/>
      <c r="D14" s="164"/>
      <c r="E14" s="175"/>
      <c r="F14" s="173"/>
      <c r="G14" s="173"/>
      <c r="H14" s="173"/>
      <c r="I14" s="173"/>
      <c r="J14" s="165"/>
      <c r="K14" s="169"/>
      <c r="L14" s="164"/>
      <c r="M14" s="164"/>
      <c r="N14" s="163"/>
      <c r="O14" s="163"/>
    </row>
    <row r="15" spans="1:15" ht="40.5" customHeight="1">
      <c r="A15" s="163"/>
      <c r="B15" s="168"/>
      <c r="C15" s="175"/>
      <c r="D15" s="164"/>
      <c r="E15" s="175"/>
      <c r="F15" s="173"/>
      <c r="G15" s="173"/>
      <c r="H15" s="173"/>
      <c r="I15" s="173"/>
      <c r="J15" s="165"/>
      <c r="K15" s="169"/>
      <c r="L15" s="164"/>
      <c r="M15" s="164"/>
      <c r="N15" s="163"/>
      <c r="O15" s="163"/>
    </row>
    <row r="16" spans="1:15" ht="40.5" customHeight="1">
      <c r="A16" s="163"/>
      <c r="B16" s="168"/>
      <c r="C16" s="175"/>
      <c r="D16" s="164"/>
      <c r="E16" s="175"/>
      <c r="F16" s="173"/>
      <c r="G16" s="173"/>
      <c r="H16" s="173"/>
      <c r="I16" s="173"/>
      <c r="J16" s="165"/>
      <c r="K16" s="169"/>
      <c r="L16" s="164"/>
      <c r="M16" s="164"/>
      <c r="N16" s="163"/>
      <c r="O16" s="163"/>
    </row>
    <row r="17" spans="1:15" ht="40.5" customHeight="1">
      <c r="A17" s="163"/>
      <c r="B17" s="168"/>
      <c r="C17" s="175"/>
      <c r="D17" s="534"/>
      <c r="E17" s="534"/>
      <c r="F17" s="534"/>
      <c r="G17" s="534"/>
      <c r="H17" s="173"/>
      <c r="I17" s="173"/>
      <c r="J17" s="165"/>
      <c r="K17" s="169"/>
      <c r="L17" s="164"/>
      <c r="M17" s="164"/>
      <c r="N17" s="163"/>
      <c r="O17" s="163"/>
    </row>
    <row r="18" spans="1:15" ht="40.5" customHeight="1">
      <c r="A18" s="163"/>
      <c r="B18" s="168"/>
      <c r="C18" s="164"/>
      <c r="D18" s="164"/>
      <c r="E18" s="164"/>
      <c r="F18" s="164"/>
      <c r="G18" s="164"/>
      <c r="H18" s="164"/>
      <c r="I18" s="164"/>
      <c r="J18" s="164"/>
      <c r="K18" s="176"/>
      <c r="L18" s="164"/>
      <c r="M18" s="164"/>
      <c r="N18" s="163"/>
      <c r="O18" s="163"/>
    </row>
    <row r="19" spans="1:15" ht="15" customHeight="1" thickBot="1">
      <c r="A19" s="164"/>
      <c r="B19" s="177"/>
      <c r="C19" s="178"/>
      <c r="D19" s="178"/>
      <c r="E19" s="178"/>
      <c r="F19" s="178"/>
      <c r="G19" s="178"/>
      <c r="H19" s="178"/>
      <c r="I19" s="178"/>
      <c r="J19" s="178"/>
      <c r="K19" s="179"/>
      <c r="L19" s="164"/>
      <c r="M19" s="164"/>
      <c r="N19" s="163"/>
      <c r="O19" s="163"/>
    </row>
    <row r="20" spans="1:15" ht="15" customHeight="1">
      <c r="A20" s="164"/>
      <c r="B20" s="164"/>
      <c r="C20" s="164"/>
      <c r="D20" s="164"/>
      <c r="E20" s="164"/>
      <c r="F20" s="164"/>
      <c r="G20" s="164"/>
      <c r="H20" s="164"/>
      <c r="I20" s="164"/>
      <c r="J20" s="164"/>
      <c r="K20" s="164"/>
      <c r="L20" s="164"/>
      <c r="M20" s="164"/>
      <c r="N20" s="163"/>
      <c r="O20" s="163"/>
    </row>
    <row r="21" spans="1:15">
      <c r="A21" s="164"/>
      <c r="B21" s="164"/>
      <c r="C21" s="164"/>
      <c r="D21" s="164"/>
      <c r="E21" s="164"/>
      <c r="F21" s="164"/>
      <c r="G21" s="164"/>
      <c r="H21" s="164"/>
      <c r="I21" s="164"/>
      <c r="J21" s="164"/>
      <c r="K21" s="164"/>
      <c r="L21" s="164"/>
      <c r="M21" s="164"/>
      <c r="N21" s="163"/>
      <c r="O21" s="163"/>
    </row>
    <row r="22" spans="1:15">
      <c r="A22" s="164"/>
      <c r="B22" s="164"/>
      <c r="C22" s="164"/>
      <c r="D22" s="164"/>
      <c r="E22" s="164"/>
      <c r="F22" s="164"/>
      <c r="G22" s="164"/>
      <c r="H22" s="164"/>
      <c r="I22" s="164"/>
      <c r="J22" s="164"/>
      <c r="K22" s="164"/>
      <c r="L22" s="164"/>
      <c r="M22" s="164"/>
      <c r="N22" s="163"/>
      <c r="O22" s="163"/>
    </row>
    <row r="23" spans="1:15">
      <c r="A23" s="164"/>
      <c r="B23" s="164"/>
      <c r="C23" s="164"/>
      <c r="D23" s="164"/>
      <c r="E23" s="164"/>
      <c r="F23" s="164"/>
      <c r="G23" s="164"/>
      <c r="H23" s="164"/>
      <c r="I23" s="164"/>
      <c r="J23" s="164"/>
      <c r="K23" s="164"/>
      <c r="L23" s="164"/>
      <c r="M23" s="164"/>
      <c r="N23" s="163"/>
      <c r="O23" s="163"/>
    </row>
    <row r="24" spans="1:15">
      <c r="C24" s="180"/>
      <c r="D24" s="180"/>
      <c r="E24" s="180"/>
      <c r="F24" s="180"/>
      <c r="G24" s="180"/>
      <c r="H24" s="180"/>
      <c r="I24" s="180"/>
      <c r="M24" s="180"/>
    </row>
    <row r="25" spans="1:15">
      <c r="C25" s="180"/>
      <c r="D25" s="180"/>
      <c r="E25" s="180"/>
      <c r="F25" s="180"/>
      <c r="G25" s="180"/>
      <c r="H25" s="180"/>
      <c r="I25" s="180"/>
      <c r="M25" s="180"/>
    </row>
    <row r="26" spans="1:15">
      <c r="C26" s="180"/>
      <c r="D26" s="180"/>
      <c r="E26" s="180"/>
      <c r="F26" s="180"/>
      <c r="G26" s="180"/>
      <c r="H26" s="180"/>
      <c r="I26" s="180"/>
      <c r="M26" s="180"/>
    </row>
    <row r="27" spans="1:15">
      <c r="C27" s="180"/>
      <c r="D27" s="180"/>
      <c r="E27" s="180"/>
      <c r="F27" s="180"/>
      <c r="G27" s="180"/>
      <c r="H27" s="180"/>
      <c r="I27" s="180"/>
      <c r="M27" s="180"/>
    </row>
    <row r="28" spans="1:15">
      <c r="C28" s="180"/>
      <c r="D28" s="180"/>
      <c r="E28" s="180"/>
      <c r="F28" s="180"/>
      <c r="G28" s="180"/>
      <c r="H28" s="180"/>
      <c r="I28" s="180"/>
      <c r="M28" s="180"/>
    </row>
    <row r="29" spans="1:15">
      <c r="C29" s="180"/>
      <c r="D29" s="180"/>
      <c r="E29" s="180"/>
      <c r="F29" s="180"/>
      <c r="G29" s="180"/>
      <c r="H29" s="180"/>
      <c r="I29" s="180"/>
      <c r="M29" s="180"/>
    </row>
  </sheetData>
  <mergeCells count="7">
    <mergeCell ref="D17:G17"/>
    <mergeCell ref="B2:J2"/>
    <mergeCell ref="B3:J3"/>
    <mergeCell ref="E10:I10"/>
    <mergeCell ref="F11:I11"/>
    <mergeCell ref="F12:I12"/>
    <mergeCell ref="C7:J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Лист5">
    <tabColor rgb="FF3AAA35"/>
    <outlinePr summaryBelow="0"/>
    <pageSetUpPr fitToPage="1"/>
  </sheetPr>
  <dimension ref="A1:Q59"/>
  <sheetViews>
    <sheetView showGridLines="0" zoomScale="75" zoomScaleNormal="75" workbookViewId="0"/>
  </sheetViews>
  <sheetFormatPr defaultColWidth="15.140625" defaultRowHeight="15"/>
  <cols>
    <col min="1" max="2" width="10.7109375" style="136" customWidth="1"/>
    <col min="3" max="3" width="70.5703125" style="136" customWidth="1"/>
    <col min="4" max="7" width="22.140625" style="136" customWidth="1"/>
    <col min="8" max="8" width="10.7109375" style="136" customWidth="1"/>
    <col min="9" max="9" width="16.85546875" style="136" customWidth="1"/>
    <col min="10" max="10" width="20.28515625" style="1" customWidth="1"/>
    <col min="11" max="11" width="20.85546875" style="1" customWidth="1"/>
    <col min="12" max="12" width="11.28515625" style="1" customWidth="1"/>
    <col min="13" max="13" width="13.42578125" style="1" customWidth="1"/>
    <col min="14" max="14" width="16.42578125" style="1" customWidth="1"/>
    <col min="15" max="15" width="17.28515625" style="1" customWidth="1"/>
    <col min="16" max="16" width="14.7109375" style="1" customWidth="1"/>
    <col min="17" max="16384" width="15.140625" style="1"/>
  </cols>
  <sheetData>
    <row r="1" spans="1:9" ht="15.75" thickBot="1"/>
    <row r="2" spans="1:9">
      <c r="B2" s="137"/>
      <c r="C2" s="185"/>
      <c r="D2" s="185"/>
      <c r="E2" s="185"/>
      <c r="F2" s="185"/>
      <c r="G2" s="185"/>
      <c r="H2" s="140"/>
      <c r="I2" s="133"/>
    </row>
    <row r="3" spans="1:9" ht="20.25">
      <c r="B3" s="517"/>
      <c r="C3" s="518"/>
      <c r="D3" s="518"/>
      <c r="E3" s="518"/>
      <c r="F3" s="518"/>
      <c r="G3" s="518"/>
      <c r="H3" s="141"/>
      <c r="I3" s="133"/>
    </row>
    <row r="4" spans="1:9" ht="47.25" customHeight="1">
      <c r="B4" s="519"/>
      <c r="C4" s="520"/>
      <c r="D4" s="520"/>
      <c r="E4" s="520"/>
      <c r="F4" s="520"/>
      <c r="G4" s="520"/>
      <c r="H4" s="141"/>
      <c r="I4" s="133"/>
    </row>
    <row r="5" spans="1:9" s="109" customFormat="1" ht="71.25" customHeight="1">
      <c r="A5" s="136"/>
      <c r="B5" s="142"/>
      <c r="C5" s="133"/>
      <c r="D5" s="222"/>
      <c r="E5" s="222"/>
      <c r="F5" s="222"/>
      <c r="G5" s="223"/>
      <c r="H5" s="141"/>
      <c r="I5" s="136"/>
    </row>
    <row r="6" spans="1:9" s="109" customFormat="1" ht="17.25" customHeight="1">
      <c r="A6" s="136"/>
      <c r="B6" s="142"/>
      <c r="C6" s="133"/>
      <c r="D6" s="222"/>
      <c r="E6" s="222"/>
      <c r="F6" s="446" t="s">
        <v>109</v>
      </c>
      <c r="G6" s="224"/>
      <c r="H6" s="141"/>
      <c r="I6" s="136"/>
    </row>
    <row r="7" spans="1:9" s="89" customFormat="1" ht="17.25" customHeight="1">
      <c r="A7" s="136"/>
      <c r="B7" s="142"/>
      <c r="C7" s="133"/>
      <c r="D7" s="222"/>
      <c r="E7" s="222"/>
      <c r="F7" s="481"/>
      <c r="G7" s="542" t="s">
        <v>4</v>
      </c>
      <c r="H7" s="543"/>
      <c r="I7" s="136"/>
    </row>
    <row r="8" spans="1:9" ht="17.25" customHeight="1">
      <c r="B8" s="142"/>
      <c r="C8" s="133"/>
      <c r="D8" s="222"/>
      <c r="E8" s="222"/>
      <c r="F8" s="147"/>
      <c r="G8" s="542" t="s">
        <v>5</v>
      </c>
      <c r="H8" s="543"/>
    </row>
    <row r="9" spans="1:9" s="109" customFormat="1" ht="20.25" customHeight="1" thickBot="1">
      <c r="A9" s="136"/>
      <c r="B9" s="142"/>
      <c r="C9" s="133"/>
      <c r="D9" s="222"/>
      <c r="E9" s="222"/>
      <c r="F9" s="416"/>
      <c r="G9" s="226"/>
      <c r="H9" s="225"/>
      <c r="I9" s="136"/>
    </row>
    <row r="10" spans="1:9" s="109" customFormat="1" ht="20.25" customHeight="1">
      <c r="A10" s="136"/>
      <c r="B10" s="142"/>
      <c r="C10" s="547" t="s">
        <v>133</v>
      </c>
      <c r="D10" s="547"/>
      <c r="E10" s="547"/>
      <c r="F10" s="547"/>
      <c r="G10" s="547"/>
      <c r="H10" s="225"/>
      <c r="I10" s="136"/>
    </row>
    <row r="11" spans="1:9" s="109" customFormat="1" ht="20.25" customHeight="1">
      <c r="A11" s="136"/>
      <c r="B11" s="142"/>
      <c r="C11" s="548"/>
      <c r="D11" s="548"/>
      <c r="E11" s="548"/>
      <c r="F11" s="548"/>
      <c r="G11" s="548"/>
      <c r="H11" s="225"/>
      <c r="I11" s="136"/>
    </row>
    <row r="12" spans="1:9" s="109" customFormat="1" ht="20.25" customHeight="1">
      <c r="A12" s="136"/>
      <c r="B12" s="142"/>
      <c r="C12" s="549" t="s">
        <v>141</v>
      </c>
      <c r="D12" s="549"/>
      <c r="E12" s="549"/>
      <c r="F12" s="549"/>
      <c r="G12" s="549"/>
      <c r="H12" s="225"/>
      <c r="I12" s="136"/>
    </row>
    <row r="13" spans="1:9" s="109" customFormat="1" ht="20.25" customHeight="1">
      <c r="A13" s="136"/>
      <c r="B13" s="142"/>
      <c r="C13" s="548"/>
      <c r="D13" s="548"/>
      <c r="E13" s="548"/>
      <c r="F13" s="548"/>
      <c r="G13" s="548"/>
      <c r="H13" s="225"/>
      <c r="I13" s="136"/>
    </row>
    <row r="14" spans="1:9" s="109" customFormat="1" ht="20.25" customHeight="1">
      <c r="A14" s="136"/>
      <c r="B14" s="142"/>
      <c r="C14" s="548"/>
      <c r="D14" s="548"/>
      <c r="E14" s="548"/>
      <c r="F14" s="548"/>
      <c r="G14" s="548"/>
      <c r="H14" s="225"/>
      <c r="I14" s="136"/>
    </row>
    <row r="15" spans="1:9" s="109" customFormat="1" ht="20.25" customHeight="1">
      <c r="A15" s="136"/>
      <c r="B15" s="142"/>
      <c r="C15" s="549" t="s">
        <v>142</v>
      </c>
      <c r="D15" s="549"/>
      <c r="E15" s="549"/>
      <c r="F15" s="549"/>
      <c r="G15" s="549"/>
      <c r="H15" s="225"/>
      <c r="I15" s="136"/>
    </row>
    <row r="16" spans="1:9" s="109" customFormat="1" ht="20.25" customHeight="1" thickBot="1">
      <c r="A16" s="136"/>
      <c r="B16" s="142"/>
      <c r="C16" s="550"/>
      <c r="D16" s="550"/>
      <c r="E16" s="550"/>
      <c r="F16" s="550"/>
      <c r="G16" s="550"/>
      <c r="H16" s="225"/>
      <c r="I16" s="136"/>
    </row>
    <row r="17" spans="1:12" s="109" customFormat="1" ht="17.25" customHeight="1">
      <c r="A17" s="136"/>
      <c r="B17" s="142"/>
      <c r="C17" s="198"/>
      <c r="D17" s="222"/>
      <c r="E17" s="222"/>
      <c r="F17" s="222"/>
      <c r="G17" s="226"/>
      <c r="H17" s="225"/>
      <c r="I17" s="136"/>
    </row>
    <row r="18" spans="1:12" ht="25.5" customHeight="1">
      <c r="B18" s="142"/>
      <c r="C18" s="541" t="s">
        <v>114</v>
      </c>
      <c r="D18" s="541"/>
      <c r="E18" s="541"/>
      <c r="F18" s="541"/>
      <c r="G18" s="541"/>
      <c r="H18" s="141"/>
    </row>
    <row r="19" spans="1:12" s="109" customFormat="1" ht="20.25" customHeight="1">
      <c r="A19" s="136"/>
      <c r="B19" s="142"/>
      <c r="C19" s="462" t="str">
        <f>'Входящие данные'!C22</f>
        <v>Количество Маркетов здоровья</v>
      </c>
      <c r="D19" s="463"/>
      <c r="E19" s="463"/>
      <c r="F19" s="464"/>
      <c r="G19" s="227">
        <f>'Входящие данные'!E22</f>
        <v>3</v>
      </c>
      <c r="H19" s="229"/>
      <c r="I19" s="136"/>
    </row>
    <row r="20" spans="1:12" s="109" customFormat="1" ht="20.25" customHeight="1">
      <c r="A20" s="136"/>
      <c r="B20" s="142"/>
      <c r="C20" s="554"/>
      <c r="D20" s="555"/>
      <c r="E20" s="555"/>
      <c r="F20" s="556"/>
      <c r="G20" s="227" t="s">
        <v>41</v>
      </c>
      <c r="H20" s="228"/>
      <c r="I20" s="136"/>
    </row>
    <row r="21" spans="1:12" s="5" customFormat="1" ht="20.25" customHeight="1">
      <c r="A21" s="136"/>
      <c r="B21" s="142"/>
      <c r="C21" s="557" t="s">
        <v>155</v>
      </c>
      <c r="D21" s="558"/>
      <c r="E21" s="558"/>
      <c r="F21" s="559"/>
      <c r="G21" s="227">
        <f>1000*(IF('Входящие данные'!E21="БЫСТРЫЙ СТАРТ",'Допущения и ограничения'!D20,IF('Входящие данные'!E21="СВОЯ СЕТЬ",'Допущения и ограничения'!F20,IF('Входящие данные'!E21="БИЗНЕС ПОД КЛЮЧ",'Допущения и ограничения'!H20))))</f>
        <v>500000</v>
      </c>
      <c r="H21" s="229"/>
      <c r="I21" s="136"/>
      <c r="L21" s="109"/>
    </row>
    <row r="22" spans="1:12" s="84" customFormat="1" ht="20.25" customHeight="1">
      <c r="A22" s="136"/>
      <c r="B22" s="142"/>
      <c r="C22" s="557" t="s">
        <v>147</v>
      </c>
      <c r="D22" s="558"/>
      <c r="E22" s="559"/>
      <c r="F22" s="230" t="s">
        <v>125</v>
      </c>
      <c r="G22" s="227">
        <f>SUM(G23:G24)</f>
        <v>210000</v>
      </c>
      <c r="H22" s="229"/>
      <c r="I22" s="136"/>
    </row>
    <row r="23" spans="1:12" s="109" customFormat="1" ht="20.25" customHeight="1">
      <c r="A23" s="136"/>
      <c r="B23" s="142"/>
      <c r="C23" s="544" t="s">
        <v>156</v>
      </c>
      <c r="D23" s="545"/>
      <c r="E23" s="545"/>
      <c r="F23" s="546"/>
      <c r="G23" s="231">
        <f>'Входящие данные'!E25*'Входящие данные'!E26</f>
        <v>105000</v>
      </c>
      <c r="H23" s="229"/>
      <c r="I23" s="136"/>
    </row>
    <row r="24" spans="1:12" s="109" customFormat="1" ht="20.25" customHeight="1">
      <c r="A24" s="136"/>
      <c r="B24" s="142"/>
      <c r="C24" s="544" t="s">
        <v>139</v>
      </c>
      <c r="D24" s="545"/>
      <c r="E24" s="546"/>
      <c r="F24" s="482">
        <v>500</v>
      </c>
      <c r="G24" s="231">
        <f>F24*'Входящие данные'!E25</f>
        <v>105000</v>
      </c>
      <c r="H24" s="229"/>
      <c r="I24" s="136"/>
    </row>
    <row r="25" spans="1:12" s="120" customFormat="1" ht="37.5">
      <c r="A25" s="232"/>
      <c r="B25" s="233"/>
      <c r="C25" s="421" t="s">
        <v>172</v>
      </c>
      <c r="D25" s="493" t="s">
        <v>182</v>
      </c>
      <c r="E25" s="493" t="s">
        <v>183</v>
      </c>
      <c r="F25" s="494" t="s">
        <v>171</v>
      </c>
      <c r="G25" s="423">
        <f>SUM(G26:G35)</f>
        <v>486000</v>
      </c>
      <c r="H25" s="234"/>
      <c r="I25" s="232"/>
    </row>
    <row r="26" spans="1:12" s="120" customFormat="1" ht="20.25" customHeight="1">
      <c r="A26" s="232"/>
      <c r="B26" s="233"/>
      <c r="C26" s="414" t="s">
        <v>181</v>
      </c>
      <c r="D26" s="482">
        <v>10</v>
      </c>
      <c r="E26" s="486">
        <f>D26*$G$19</f>
        <v>30</v>
      </c>
      <c r="F26" s="482">
        <v>5000</v>
      </c>
      <c r="G26" s="492">
        <f>E26*F26</f>
        <v>150000</v>
      </c>
      <c r="H26" s="234"/>
      <c r="I26" s="232"/>
    </row>
    <row r="27" spans="1:12" s="120" customFormat="1" ht="20.25" customHeight="1">
      <c r="A27" s="232"/>
      <c r="B27" s="233"/>
      <c r="C27" s="491" t="s">
        <v>173</v>
      </c>
      <c r="D27" s="487">
        <v>2</v>
      </c>
      <c r="E27" s="486">
        <f t="shared" ref="E27:E28" si="0">D27*$G$19</f>
        <v>6</v>
      </c>
      <c r="F27" s="482">
        <v>10000</v>
      </c>
      <c r="G27" s="492">
        <f t="shared" ref="G27:G35" si="1">E27*F27</f>
        <v>60000</v>
      </c>
      <c r="H27" s="234"/>
      <c r="I27" s="232"/>
    </row>
    <row r="28" spans="1:12" s="120" customFormat="1" ht="20.25" customHeight="1">
      <c r="A28" s="232"/>
      <c r="B28" s="233"/>
      <c r="C28" s="491" t="s">
        <v>174</v>
      </c>
      <c r="D28" s="487">
        <v>1</v>
      </c>
      <c r="E28" s="486">
        <f t="shared" si="0"/>
        <v>3</v>
      </c>
      <c r="F28" s="482">
        <v>10000</v>
      </c>
      <c r="G28" s="492">
        <f t="shared" si="1"/>
        <v>30000</v>
      </c>
      <c r="H28" s="234"/>
      <c r="I28" s="232"/>
    </row>
    <row r="29" spans="1:12" s="120" customFormat="1" ht="20.25" customHeight="1">
      <c r="A29" s="232"/>
      <c r="B29" s="233"/>
      <c r="C29" s="491" t="s">
        <v>175</v>
      </c>
      <c r="D29" s="487">
        <v>1</v>
      </c>
      <c r="E29" s="486">
        <f>D29*$G$19</f>
        <v>3</v>
      </c>
      <c r="F29" s="482">
        <v>10000</v>
      </c>
      <c r="G29" s="492">
        <f t="shared" si="1"/>
        <v>30000</v>
      </c>
      <c r="H29" s="234"/>
      <c r="I29" s="232"/>
    </row>
    <row r="30" spans="1:12" s="120" customFormat="1" ht="20.25" customHeight="1">
      <c r="A30" s="232"/>
      <c r="B30" s="233"/>
      <c r="C30" s="491" t="s">
        <v>176</v>
      </c>
      <c r="D30" s="487">
        <v>1</v>
      </c>
      <c r="E30" s="486">
        <f>D30*$G$19</f>
        <v>3</v>
      </c>
      <c r="F30" s="482">
        <v>15000</v>
      </c>
      <c r="G30" s="492">
        <f t="shared" si="1"/>
        <v>45000</v>
      </c>
      <c r="H30" s="234"/>
      <c r="I30" s="232"/>
    </row>
    <row r="31" spans="1:12" s="120" customFormat="1" ht="20.25" customHeight="1">
      <c r="A31" s="232"/>
      <c r="B31" s="233"/>
      <c r="C31" s="491" t="s">
        <v>177</v>
      </c>
      <c r="D31" s="490">
        <f>D26</f>
        <v>10</v>
      </c>
      <c r="E31" s="486">
        <f t="shared" ref="E31:E32" si="2">D31*$G$19</f>
        <v>30</v>
      </c>
      <c r="F31" s="482">
        <v>1000</v>
      </c>
      <c r="G31" s="492">
        <f t="shared" si="1"/>
        <v>30000</v>
      </c>
      <c r="H31" s="234"/>
      <c r="I31" s="232"/>
    </row>
    <row r="32" spans="1:12" s="120" customFormat="1" ht="20.25" customHeight="1">
      <c r="A32" s="232"/>
      <c r="B32" s="233"/>
      <c r="C32" s="491" t="s">
        <v>178</v>
      </c>
      <c r="D32" s="487">
        <v>1</v>
      </c>
      <c r="E32" s="486">
        <f t="shared" si="2"/>
        <v>3</v>
      </c>
      <c r="F32" s="482">
        <v>10000</v>
      </c>
      <c r="G32" s="492">
        <f t="shared" si="1"/>
        <v>30000</v>
      </c>
      <c r="H32" s="234"/>
      <c r="I32" s="232"/>
    </row>
    <row r="33" spans="1:17" s="120" customFormat="1" ht="20.25" customHeight="1">
      <c r="A33" s="232"/>
      <c r="B33" s="233"/>
      <c r="C33" s="563" t="s">
        <v>179</v>
      </c>
      <c r="D33" s="564"/>
      <c r="E33" s="490">
        <f>$G$19</f>
        <v>3</v>
      </c>
      <c r="F33" s="482">
        <v>7000</v>
      </c>
      <c r="G33" s="492">
        <f t="shared" si="1"/>
        <v>21000</v>
      </c>
      <c r="H33" s="234"/>
      <c r="I33" s="232"/>
    </row>
    <row r="34" spans="1:17" s="120" customFormat="1" ht="20.25" customHeight="1">
      <c r="A34" s="232"/>
      <c r="B34" s="233"/>
      <c r="C34" s="563" t="s">
        <v>208</v>
      </c>
      <c r="D34" s="564"/>
      <c r="E34" s="490">
        <f>$G$19</f>
        <v>3</v>
      </c>
      <c r="F34" s="482">
        <v>10000</v>
      </c>
      <c r="G34" s="492">
        <f t="shared" si="1"/>
        <v>30000</v>
      </c>
      <c r="H34" s="234"/>
      <c r="I34" s="232"/>
    </row>
    <row r="35" spans="1:17" s="120" customFormat="1" ht="20.25" customHeight="1">
      <c r="A35" s="232"/>
      <c r="B35" s="233"/>
      <c r="C35" s="563" t="s">
        <v>180</v>
      </c>
      <c r="D35" s="564"/>
      <c r="E35" s="490">
        <f>$G$19</f>
        <v>3</v>
      </c>
      <c r="F35" s="482">
        <v>20000</v>
      </c>
      <c r="G35" s="492">
        <f t="shared" si="1"/>
        <v>60000</v>
      </c>
      <c r="H35" s="234"/>
      <c r="I35" s="232"/>
    </row>
    <row r="36" spans="1:17" s="120" customFormat="1" ht="20.25" customHeight="1">
      <c r="A36" s="232"/>
      <c r="B36" s="233"/>
      <c r="C36" s="421" t="s">
        <v>154</v>
      </c>
      <c r="D36" s="488"/>
      <c r="E36" s="488"/>
      <c r="F36" s="489"/>
      <c r="G36" s="423">
        <f>G37*G19</f>
        <v>1500000</v>
      </c>
      <c r="H36" s="234"/>
      <c r="I36" s="232"/>
    </row>
    <row r="37" spans="1:17" s="120" customFormat="1" ht="20.25" customHeight="1">
      <c r="A37" s="232"/>
      <c r="B37" s="233"/>
      <c r="C37" s="422" t="s">
        <v>170</v>
      </c>
      <c r="D37" s="488"/>
      <c r="E37" s="488"/>
      <c r="F37" s="489" t="s">
        <v>184</v>
      </c>
      <c r="G37" s="485">
        <v>500000</v>
      </c>
      <c r="H37" s="234"/>
      <c r="I37" s="232"/>
    </row>
    <row r="38" spans="1:17" s="109" customFormat="1" ht="20.25" customHeight="1">
      <c r="A38" s="136"/>
      <c r="B38" s="142"/>
      <c r="C38" s="421" t="s">
        <v>126</v>
      </c>
      <c r="D38" s="236"/>
      <c r="E38" s="236"/>
      <c r="F38" s="237"/>
      <c r="G38" s="238">
        <f>G39*G19</f>
        <v>90000</v>
      </c>
      <c r="H38" s="229"/>
      <c r="I38" s="136"/>
    </row>
    <row r="39" spans="1:17" s="109" customFormat="1" ht="20.25" customHeight="1">
      <c r="A39" s="136"/>
      <c r="B39" s="142"/>
      <c r="C39" s="239" t="s">
        <v>127</v>
      </c>
      <c r="D39" s="236"/>
      <c r="E39" s="236"/>
      <c r="F39" s="237"/>
      <c r="G39" s="484">
        <v>30000</v>
      </c>
      <c r="H39" s="229"/>
      <c r="I39" s="136"/>
    </row>
    <row r="40" spans="1:17" s="109" customFormat="1" ht="20.25" customHeight="1">
      <c r="A40" s="136"/>
      <c r="B40" s="142"/>
      <c r="C40" s="560" t="s">
        <v>103</v>
      </c>
      <c r="D40" s="561"/>
      <c r="E40" s="561"/>
      <c r="F40" s="562"/>
      <c r="G40" s="240">
        <f>SUM(G41:G42)</f>
        <v>4800</v>
      </c>
      <c r="H40" s="229"/>
      <c r="I40" s="136"/>
    </row>
    <row r="41" spans="1:17" s="109" customFormat="1" ht="20.25" customHeight="1">
      <c r="A41" s="136"/>
      <c r="B41" s="142"/>
      <c r="C41" s="241" t="s">
        <v>104</v>
      </c>
      <c r="D41" s="242"/>
      <c r="E41" s="242"/>
      <c r="F41" s="483" t="s">
        <v>105</v>
      </c>
      <c r="G41" s="243">
        <f>IF(F41="Самостоятельно",12000,IF(F41="Посредник",22000,0))</f>
        <v>0</v>
      </c>
      <c r="H41" s="229"/>
      <c r="I41" s="136"/>
    </row>
    <row r="42" spans="1:17" s="109" customFormat="1" ht="20.25" customHeight="1">
      <c r="A42" s="136"/>
      <c r="B42" s="142"/>
      <c r="C42" s="241" t="s">
        <v>106</v>
      </c>
      <c r="D42" s="242"/>
      <c r="E42" s="242"/>
      <c r="F42" s="483" t="s">
        <v>129</v>
      </c>
      <c r="G42" s="243">
        <f>IF(F42="Самостоятельно",4800,IF(F42="Посредник",7800,0))</f>
        <v>4800</v>
      </c>
      <c r="H42" s="229"/>
      <c r="I42" s="136"/>
    </row>
    <row r="43" spans="1:17" s="109" customFormat="1" ht="20.25" customHeight="1">
      <c r="A43" s="136"/>
      <c r="B43" s="142"/>
      <c r="C43" s="235" t="s">
        <v>107</v>
      </c>
      <c r="D43" s="242"/>
      <c r="E43" s="242"/>
      <c r="F43" s="242"/>
      <c r="G43" s="227">
        <f>SUM(G44:G45)</f>
        <v>410000</v>
      </c>
      <c r="H43" s="229"/>
      <c r="I43" s="136"/>
    </row>
    <row r="44" spans="1:17" s="109" customFormat="1" ht="20.25" customHeight="1">
      <c r="A44" s="136"/>
      <c r="B44" s="142"/>
      <c r="C44" s="244" t="s">
        <v>152</v>
      </c>
      <c r="D44" s="242"/>
      <c r="E44" s="242"/>
      <c r="F44" s="242"/>
      <c r="G44" s="482">
        <v>10000</v>
      </c>
      <c r="H44" s="229"/>
      <c r="I44" s="136"/>
    </row>
    <row r="45" spans="1:17" s="109" customFormat="1" ht="20.25" customHeight="1">
      <c r="A45" s="136"/>
      <c r="B45" s="142"/>
      <c r="C45" s="244" t="s">
        <v>185</v>
      </c>
      <c r="D45" s="242"/>
      <c r="E45" s="242"/>
      <c r="F45" s="242"/>
      <c r="G45" s="482">
        <f>IF('Входящие данные'!E21="СВОЯ СЕТЬ",400000,200000)</f>
        <v>400000</v>
      </c>
      <c r="H45" s="229"/>
      <c r="I45" s="136"/>
    </row>
    <row r="46" spans="1:17" s="109" customFormat="1" ht="20.25" customHeight="1">
      <c r="A46" s="136"/>
      <c r="B46" s="142"/>
      <c r="C46" s="551" t="s">
        <v>3</v>
      </c>
      <c r="D46" s="552"/>
      <c r="E46" s="552"/>
      <c r="F46" s="553"/>
      <c r="G46" s="240">
        <f>G21+G22+G40+G43+G38+G36+G25</f>
        <v>3200800</v>
      </c>
      <c r="H46" s="229"/>
      <c r="I46" s="136"/>
    </row>
    <row r="47" spans="1:17" ht="16.5" thickBot="1">
      <c r="B47" s="160"/>
      <c r="C47" s="245"/>
      <c r="D47" s="245"/>
      <c r="E47" s="245"/>
      <c r="F47" s="245"/>
      <c r="G47" s="161"/>
      <c r="H47" s="162"/>
      <c r="Q47" s="92"/>
    </row>
    <row r="48" spans="1:17" ht="15.75">
      <c r="C48" s="246"/>
      <c r="D48" s="247"/>
      <c r="E48" s="247"/>
      <c r="F48" s="247"/>
      <c r="G48" s="133"/>
      <c r="Q48" s="92"/>
    </row>
    <row r="49" spans="3:17" ht="15.75">
      <c r="C49" s="248"/>
      <c r="D49" s="247"/>
      <c r="E49" s="247"/>
      <c r="F49" s="247"/>
      <c r="G49" s="133"/>
      <c r="Q49" s="92"/>
    </row>
    <row r="50" spans="3:17" ht="15.75">
      <c r="C50" s="246"/>
      <c r="D50" s="247"/>
      <c r="E50" s="247"/>
      <c r="F50" s="247"/>
      <c r="G50" s="133"/>
      <c r="Q50" s="92"/>
    </row>
    <row r="51" spans="3:17" ht="15.75">
      <c r="C51" s="249"/>
      <c r="D51" s="247"/>
      <c r="E51" s="247"/>
      <c r="F51" s="247"/>
      <c r="Q51" s="92"/>
    </row>
    <row r="52" spans="3:17" ht="15.75">
      <c r="C52" s="247"/>
      <c r="D52" s="247"/>
      <c r="E52" s="247"/>
      <c r="F52" s="247"/>
      <c r="G52" s="247"/>
      <c r="Q52" s="92"/>
    </row>
    <row r="53" spans="3:17" ht="15.75">
      <c r="C53" s="133"/>
      <c r="D53" s="133"/>
      <c r="E53" s="133"/>
      <c r="F53" s="133"/>
      <c r="G53" s="247"/>
      <c r="Q53" s="91"/>
    </row>
    <row r="54" spans="3:17" ht="15.75">
      <c r="C54" s="133"/>
      <c r="D54" s="133"/>
      <c r="E54" s="133"/>
      <c r="F54" s="133"/>
      <c r="G54" s="247"/>
      <c r="Q54" s="91"/>
    </row>
    <row r="55" spans="3:17">
      <c r="G55" s="247"/>
    </row>
    <row r="56" spans="3:17">
      <c r="G56" s="247"/>
    </row>
    <row r="57" spans="3:17">
      <c r="G57" s="247"/>
    </row>
    <row r="58" spans="3:17">
      <c r="G58" s="133"/>
    </row>
    <row r="59" spans="3:17">
      <c r="G59" s="133"/>
    </row>
  </sheetData>
  <mergeCells count="18">
    <mergeCell ref="C23:F23"/>
    <mergeCell ref="C10:G11"/>
    <mergeCell ref="C12:G14"/>
    <mergeCell ref="C15:G16"/>
    <mergeCell ref="C46:F46"/>
    <mergeCell ref="C20:F20"/>
    <mergeCell ref="C21:F21"/>
    <mergeCell ref="C40:F40"/>
    <mergeCell ref="C24:E24"/>
    <mergeCell ref="C22:E22"/>
    <mergeCell ref="C33:D33"/>
    <mergeCell ref="C34:D34"/>
    <mergeCell ref="C35:D35"/>
    <mergeCell ref="B3:G3"/>
    <mergeCell ref="C18:G18"/>
    <mergeCell ref="B4:G4"/>
    <mergeCell ref="G7:H7"/>
    <mergeCell ref="G8:H8"/>
  </mergeCells>
  <dataValidations count="7">
    <dataValidation type="list" allowBlank="1" showInputMessage="1" showErrorMessage="1" sqref="F41">
      <formula1>"Самостоятельно,Посредник,Нет"</formula1>
    </dataValidation>
    <dataValidation type="list" allowBlank="1" showInputMessage="1" showErrorMessage="1" sqref="F42">
      <formula1>"Самостоятельно,Посредник, Нет"</formula1>
    </dataValidation>
    <dataValidation allowBlank="1" showInputMessage="1" showErrorMessage="1" promptTitle="РЕКОМЕНДАЦИЯ" prompt="От 10 до 15 шт. на 1-ну точку" sqref="D26"/>
    <dataValidation allowBlank="1" showInputMessage="1" showErrorMessage="1" promptTitle="РЕКОМЕНДАЦИЯ" prompt="2 шт. на 1-ну точку" sqref="D27"/>
    <dataValidation allowBlank="1" showInputMessage="1" showErrorMessage="1" promptTitle="РЕКОМЕНДАЦИЯ" prompt="Укажите сумму закупа на 1-ну точку&#10;" sqref="G37"/>
    <dataValidation allowBlank="1" showInputMessage="1" showErrorMessage="1" promptTitle="РЕКОМЕНДАЦИЯ" prompt="Укажите рекламный бюджет на открытие 1-ой точки" sqref="G39"/>
    <dataValidation allowBlank="1" showInputMessage="1" showErrorMessage="1" promptTitle="РЕКОМЕНДАЦИЯ" prompt="Укажите планируемый уровень затрат на выезд команды ГО, обучение персонала, стадировку на точках ГО" sqref="G45"/>
  </dataValidations>
  <pageMargins left="0.7" right="0.7" top="0.75" bottom="0.75" header="0.3" footer="0.3"/>
  <pageSetup paperSize="9" scale="40" orientation="landscape" r:id="rId1"/>
  <drawing r:id="rId2"/>
</worksheet>
</file>

<file path=xl/worksheets/sheet6.xml><?xml version="1.0" encoding="utf-8"?>
<worksheet xmlns="http://schemas.openxmlformats.org/spreadsheetml/2006/main" xmlns:r="http://schemas.openxmlformats.org/officeDocument/2006/relationships">
  <sheetPr codeName="Лист6">
    <tabColor rgb="FF3AAA35"/>
  </sheetPr>
  <dimension ref="A1:P53"/>
  <sheetViews>
    <sheetView showGridLines="0" zoomScale="75" zoomScaleNormal="75" workbookViewId="0"/>
  </sheetViews>
  <sheetFormatPr defaultColWidth="15.140625" defaultRowHeight="15"/>
  <cols>
    <col min="1" max="2" width="10.7109375" style="136" customWidth="1"/>
    <col min="3" max="3" width="54.7109375" style="136" customWidth="1"/>
    <col min="4" max="6" width="19.7109375" style="136" customWidth="1"/>
    <col min="7" max="7" width="19.7109375" style="183" customWidth="1"/>
    <col min="8" max="8" width="10.7109375" style="184" customWidth="1"/>
    <col min="9" max="9" width="16.42578125" style="136" customWidth="1"/>
    <col min="10" max="10" width="7.5703125" style="136" customWidth="1"/>
    <col min="11" max="11" width="92" style="3" customWidth="1"/>
    <col min="12" max="12" width="11.28515625" style="3" customWidth="1"/>
    <col min="13" max="13" width="13.42578125" style="3" customWidth="1"/>
    <col min="14" max="14" width="16.42578125" style="3" customWidth="1"/>
    <col min="15" max="15" width="17.28515625" style="3" customWidth="1"/>
    <col min="16" max="16" width="14.7109375" style="3" customWidth="1"/>
    <col min="17" max="16384" width="15.140625" style="3"/>
  </cols>
  <sheetData>
    <row r="1" spans="1:16" ht="15" customHeight="1" thickBot="1">
      <c r="A1" s="449"/>
    </row>
    <row r="2" spans="1:16" ht="15" customHeight="1">
      <c r="B2" s="137"/>
      <c r="C2" s="185"/>
      <c r="D2" s="185"/>
      <c r="E2" s="185"/>
      <c r="F2" s="185"/>
      <c r="G2" s="186"/>
      <c r="H2" s="187"/>
      <c r="I2" s="133"/>
    </row>
    <row r="3" spans="1:16" ht="33" customHeight="1">
      <c r="B3" s="142"/>
      <c r="C3" s="432"/>
      <c r="D3" s="432"/>
      <c r="E3" s="432"/>
      <c r="F3" s="432"/>
      <c r="G3" s="432"/>
      <c r="H3" s="188"/>
      <c r="I3" s="133"/>
    </row>
    <row r="4" spans="1:16" ht="95.25" customHeight="1">
      <c r="B4" s="142"/>
      <c r="C4" s="432"/>
      <c r="D4" s="432"/>
      <c r="E4" s="432"/>
      <c r="F4" s="432"/>
      <c r="G4" s="432"/>
      <c r="H4" s="188"/>
      <c r="I4" s="133"/>
    </row>
    <row r="5" spans="1:16" s="93" customFormat="1" ht="15" customHeight="1">
      <c r="A5" s="136"/>
      <c r="B5" s="142"/>
      <c r="C5" s="133"/>
      <c r="D5" s="136"/>
      <c r="E5" s="136"/>
      <c r="F5" s="189" t="s">
        <v>109</v>
      </c>
      <c r="G5" s="190"/>
      <c r="H5" s="191"/>
      <c r="I5" s="136"/>
      <c r="J5" s="136"/>
    </row>
    <row r="6" spans="1:16" s="93" customFormat="1" ht="15" customHeight="1">
      <c r="A6" s="136"/>
      <c r="B6" s="142"/>
      <c r="C6" s="133"/>
      <c r="D6" s="136"/>
      <c r="E6" s="136"/>
      <c r="F6" s="471"/>
      <c r="G6" s="192" t="s">
        <v>4</v>
      </c>
      <c r="H6" s="193"/>
      <c r="I6" s="136"/>
      <c r="J6" s="136"/>
    </row>
    <row r="7" spans="1:16" s="109" customFormat="1" ht="15" customHeight="1">
      <c r="A7" s="136"/>
      <c r="B7" s="142"/>
      <c r="C7" s="133"/>
      <c r="D7" s="136"/>
      <c r="E7" s="136"/>
      <c r="F7" s="194"/>
      <c r="G7" s="195" t="s">
        <v>5</v>
      </c>
      <c r="H7" s="196"/>
      <c r="I7" s="136"/>
      <c r="J7" s="136"/>
      <c r="K7" s="87"/>
      <c r="L7" s="87"/>
      <c r="M7" s="87"/>
      <c r="N7" s="87"/>
      <c r="O7" s="87"/>
      <c r="P7" s="87"/>
    </row>
    <row r="8" spans="1:16" ht="15" customHeight="1" thickBot="1">
      <c r="B8" s="142"/>
      <c r="C8" s="133"/>
      <c r="D8" s="133"/>
      <c r="F8" s="133"/>
      <c r="G8" s="133"/>
      <c r="H8" s="197"/>
      <c r="K8" s="87"/>
      <c r="L8" s="87"/>
      <c r="M8" s="87"/>
      <c r="N8" s="87"/>
      <c r="O8" s="87"/>
      <c r="P8" s="87"/>
    </row>
    <row r="9" spans="1:16" s="109" customFormat="1" ht="20.25" customHeight="1">
      <c r="A9" s="136"/>
      <c r="B9" s="142"/>
      <c r="C9" s="547" t="s">
        <v>134</v>
      </c>
      <c r="D9" s="547"/>
      <c r="E9" s="547"/>
      <c r="F9" s="547"/>
      <c r="G9" s="547"/>
      <c r="H9" s="197"/>
      <c r="I9" s="136"/>
      <c r="J9" s="136"/>
      <c r="K9" s="565"/>
      <c r="L9" s="565"/>
      <c r="M9" s="565"/>
      <c r="N9" s="565"/>
      <c r="O9" s="565"/>
      <c r="P9" s="565"/>
    </row>
    <row r="10" spans="1:16" s="109" customFormat="1" ht="20.25" customHeight="1">
      <c r="A10" s="136"/>
      <c r="B10" s="142"/>
      <c r="C10" s="566"/>
      <c r="D10" s="566"/>
      <c r="E10" s="566"/>
      <c r="F10" s="566"/>
      <c r="G10" s="566"/>
      <c r="H10" s="197"/>
      <c r="I10" s="136"/>
      <c r="J10" s="136"/>
      <c r="K10" s="565"/>
      <c r="L10" s="565"/>
      <c r="M10" s="565"/>
      <c r="N10" s="565"/>
      <c r="O10" s="565"/>
      <c r="P10" s="565"/>
    </row>
    <row r="11" spans="1:16" s="109" customFormat="1" ht="20.25" customHeight="1">
      <c r="A11" s="136"/>
      <c r="B11" s="142"/>
      <c r="C11" s="549" t="s">
        <v>140</v>
      </c>
      <c r="D11" s="549"/>
      <c r="E11" s="549"/>
      <c r="F11" s="549"/>
      <c r="G11" s="549"/>
      <c r="H11" s="197"/>
      <c r="I11" s="136"/>
      <c r="J11" s="136"/>
      <c r="K11" s="565"/>
      <c r="L11" s="565"/>
      <c r="M11" s="565"/>
      <c r="N11" s="565"/>
      <c r="O11" s="565"/>
      <c r="P11" s="565"/>
    </row>
    <row r="12" spans="1:16" s="109" customFormat="1" ht="20.25" customHeight="1">
      <c r="A12" s="136"/>
      <c r="B12" s="142"/>
      <c r="C12" s="566"/>
      <c r="D12" s="566"/>
      <c r="E12" s="566"/>
      <c r="F12" s="566"/>
      <c r="G12" s="566"/>
      <c r="H12" s="197"/>
      <c r="I12" s="136"/>
      <c r="J12" s="136"/>
      <c r="K12" s="565"/>
      <c r="L12" s="565"/>
      <c r="M12" s="565"/>
      <c r="N12" s="565"/>
      <c r="O12" s="565"/>
      <c r="P12" s="565"/>
    </row>
    <row r="13" spans="1:16" s="109" customFormat="1" ht="20.25" customHeight="1">
      <c r="A13" s="136"/>
      <c r="B13" s="142"/>
      <c r="C13" s="548" t="s">
        <v>135</v>
      </c>
      <c r="D13" s="548"/>
      <c r="E13" s="548"/>
      <c r="F13" s="548"/>
      <c r="G13" s="548"/>
      <c r="H13" s="197"/>
      <c r="I13" s="136"/>
      <c r="J13" s="136"/>
      <c r="K13" s="565"/>
      <c r="L13" s="565"/>
      <c r="M13" s="565"/>
      <c r="N13" s="565"/>
      <c r="O13" s="565"/>
      <c r="P13" s="565"/>
    </row>
    <row r="14" spans="1:16" s="109" customFormat="1" ht="20.25" customHeight="1" thickBot="1">
      <c r="A14" s="136"/>
      <c r="B14" s="142"/>
      <c r="C14" s="550"/>
      <c r="D14" s="550"/>
      <c r="E14" s="550"/>
      <c r="F14" s="550"/>
      <c r="G14" s="550"/>
      <c r="H14" s="197"/>
      <c r="I14" s="136"/>
      <c r="J14" s="136"/>
      <c r="K14" s="87"/>
      <c r="L14" s="122"/>
      <c r="M14" s="122"/>
      <c r="N14" s="122"/>
      <c r="O14" s="122"/>
      <c r="P14" s="122"/>
    </row>
    <row r="15" spans="1:16" s="109" customFormat="1" ht="23.25" customHeight="1">
      <c r="A15" s="136"/>
      <c r="B15" s="142"/>
      <c r="C15" s="133"/>
      <c r="D15" s="133"/>
      <c r="E15" s="198"/>
      <c r="F15" s="133"/>
      <c r="G15" s="146"/>
      <c r="H15" s="197"/>
      <c r="I15" s="136"/>
      <c r="J15" s="136"/>
      <c r="K15" s="87"/>
      <c r="L15" s="87"/>
      <c r="M15" s="87"/>
      <c r="N15" s="87"/>
      <c r="O15" s="87"/>
      <c r="P15" s="87"/>
    </row>
    <row r="16" spans="1:16" ht="26.25" customHeight="1">
      <c r="B16" s="142"/>
      <c r="C16" s="573" t="s">
        <v>14</v>
      </c>
      <c r="D16" s="574"/>
      <c r="E16" s="574"/>
      <c r="F16" s="574"/>
      <c r="G16" s="575"/>
      <c r="H16" s="141"/>
    </row>
    <row r="17" spans="1:11" s="109" customFormat="1" ht="26.25" customHeight="1">
      <c r="A17" s="136"/>
      <c r="B17" s="142"/>
      <c r="C17" s="585" t="str">
        <f>'Входящие данные'!C22</f>
        <v>Количество Маркетов здоровья</v>
      </c>
      <c r="D17" s="586"/>
      <c r="E17" s="586"/>
      <c r="F17" s="587"/>
      <c r="G17" s="501">
        <f>'Входящие данные'!E22</f>
        <v>3</v>
      </c>
      <c r="H17" s="141"/>
      <c r="I17" s="136"/>
      <c r="J17" s="136"/>
    </row>
    <row r="18" spans="1:11" s="4" customFormat="1" ht="36.75" customHeight="1">
      <c r="A18" s="136"/>
      <c r="B18" s="142"/>
      <c r="C18" s="438" t="s">
        <v>15</v>
      </c>
      <c r="D18" s="199" t="s">
        <v>69</v>
      </c>
      <c r="E18" s="200" t="s">
        <v>99</v>
      </c>
      <c r="F18" s="201" t="s">
        <v>111</v>
      </c>
      <c r="G18" s="202" t="s">
        <v>41</v>
      </c>
      <c r="H18" s="141"/>
      <c r="I18" s="203"/>
      <c r="J18" s="136"/>
    </row>
    <row r="19" spans="1:11" s="109" customFormat="1" ht="19.5" customHeight="1">
      <c r="A19" s="136"/>
      <c r="B19" s="142"/>
      <c r="C19" s="567" t="s">
        <v>20</v>
      </c>
      <c r="D19" s="568"/>
      <c r="E19" s="568"/>
      <c r="F19" s="569"/>
      <c r="G19" s="204">
        <f>SUM(G20:G22)</f>
        <v>621080.23281465913</v>
      </c>
      <c r="H19" s="141"/>
      <c r="I19" s="203"/>
      <c r="J19" s="136"/>
    </row>
    <row r="20" spans="1:11" s="81" customFormat="1" ht="19.5" customHeight="1">
      <c r="A20" s="136"/>
      <c r="B20" s="142"/>
      <c r="C20" s="206" t="s">
        <v>144</v>
      </c>
      <c r="D20" s="495">
        <f>1*'Входящие данные'!$E$22</f>
        <v>3</v>
      </c>
      <c r="E20" s="496">
        <v>20000</v>
      </c>
      <c r="F20" s="497">
        <v>0</v>
      </c>
      <c r="G20" s="327">
        <f>IF(D20&gt;0,D20*E20+F20*Продажи!$D$47,0)</f>
        <v>60000</v>
      </c>
      <c r="H20" s="205"/>
      <c r="I20" s="203"/>
      <c r="J20" s="136"/>
    </row>
    <row r="21" spans="1:11" s="109" customFormat="1" ht="19.5" customHeight="1">
      <c r="A21" s="136"/>
      <c r="B21" s="142"/>
      <c r="C21" s="206" t="s">
        <v>186</v>
      </c>
      <c r="D21" s="495">
        <f>1*'Входящие данные'!$E$22</f>
        <v>3</v>
      </c>
      <c r="E21" s="496">
        <v>30000</v>
      </c>
      <c r="F21" s="497">
        <v>0.08</v>
      </c>
      <c r="G21" s="327">
        <f>IF(D21&gt;0,D21*E21+F21*Продажи!D47,0)</f>
        <v>355099.29239280632</v>
      </c>
      <c r="H21" s="205"/>
      <c r="I21" s="203"/>
      <c r="J21" s="136"/>
    </row>
    <row r="22" spans="1:11" s="109" customFormat="1" ht="19.5" customHeight="1">
      <c r="A22" s="136"/>
      <c r="B22" s="142"/>
      <c r="C22" s="206" t="s">
        <v>187</v>
      </c>
      <c r="D22" s="495">
        <f>2*'Входящие данные'!$E$22</f>
        <v>6</v>
      </c>
      <c r="E22" s="496">
        <v>15000</v>
      </c>
      <c r="F22" s="497">
        <v>3.5000000000000003E-2</v>
      </c>
      <c r="G22" s="327">
        <f>IF(D22&gt;0,D22*E22+F22*Продажи!D47,0)</f>
        <v>205980.94042185278</v>
      </c>
      <c r="H22" s="205"/>
      <c r="I22" s="203"/>
      <c r="J22" s="136"/>
    </row>
    <row r="23" spans="1:11" s="4" customFormat="1" ht="19.5" customHeight="1">
      <c r="A23" s="136"/>
      <c r="B23" s="142"/>
      <c r="C23" s="567" t="s">
        <v>19</v>
      </c>
      <c r="D23" s="568"/>
      <c r="E23" s="568"/>
      <c r="F23" s="569"/>
      <c r="G23" s="207">
        <f>G24</f>
        <v>105000</v>
      </c>
      <c r="H23" s="141"/>
      <c r="I23" s="136"/>
      <c r="J23" s="450"/>
      <c r="K23" s="114"/>
    </row>
    <row r="24" spans="1:11" ht="19.5" customHeight="1">
      <c r="B24" s="142"/>
      <c r="C24" s="206" t="str">
        <f>IF('Входящие данные'!E21="Start Pack","Аренда витрины","Аренда помещения")</f>
        <v>Аренда помещения</v>
      </c>
      <c r="D24" s="208"/>
      <c r="E24" s="209"/>
      <c r="F24" s="209"/>
      <c r="G24" s="210">
        <f>'Входящие данные'!E25*'Входящие данные'!E26</f>
        <v>105000</v>
      </c>
      <c r="H24" s="141"/>
      <c r="J24" s="450"/>
      <c r="K24" s="114"/>
    </row>
    <row r="25" spans="1:11" ht="19.5" customHeight="1">
      <c r="B25" s="142"/>
      <c r="C25" s="567" t="s">
        <v>70</v>
      </c>
      <c r="D25" s="568"/>
      <c r="E25" s="568"/>
      <c r="F25" s="569"/>
      <c r="G25" s="211">
        <f>SUM(G26:G26)</f>
        <v>4413.1500000000005</v>
      </c>
      <c r="H25" s="188"/>
      <c r="K25" s="116"/>
    </row>
    <row r="26" spans="1:11" s="109" customFormat="1" ht="19.5" customHeight="1">
      <c r="A26" s="136"/>
      <c r="B26" s="142"/>
      <c r="C26" s="212" t="str">
        <f>'Входящие данные'!E23</f>
        <v>ЕНВД</v>
      </c>
      <c r="D26" s="213" t="str">
        <f>IF(C26="ЕНВД","Укажите К2","")</f>
        <v>Укажите К2</v>
      </c>
      <c r="E26" s="496">
        <f>IF(C26="ЕНВД",0.5,"-")</f>
        <v>0.5</v>
      </c>
      <c r="F26" s="214" t="str">
        <f>IF(C26="УСН 6%",6%,IF(C26="УСН 15%",15%,"-"))</f>
        <v>-</v>
      </c>
      <c r="G26" s="215">
        <f>IF(C26="УСН 6%",F26*Продажи!D47,(IF(C26="УСН 15%",F26*AVERAGE(Прибыль_окупаемость!E40:AN40),15%*1800*1.868*E26*'Входящие данные'!E25/12)))</f>
        <v>4413.1500000000005</v>
      </c>
      <c r="H26" s="188"/>
      <c r="I26" s="136"/>
      <c r="J26" s="136"/>
      <c r="K26" s="116"/>
    </row>
    <row r="27" spans="1:11" ht="19.5" customHeight="1">
      <c r="B27" s="142"/>
      <c r="C27" s="576" t="s">
        <v>51</v>
      </c>
      <c r="D27" s="577"/>
      <c r="E27" s="577"/>
      <c r="F27" s="578"/>
      <c r="G27" s="211">
        <f>G28</f>
        <v>0</v>
      </c>
      <c r="H27" s="188"/>
      <c r="K27" s="115"/>
    </row>
    <row r="28" spans="1:11" ht="19.5" customHeight="1">
      <c r="B28" s="142"/>
      <c r="C28" s="579" t="s">
        <v>52</v>
      </c>
      <c r="D28" s="580"/>
      <c r="E28" s="580"/>
      <c r="F28" s="581"/>
      <c r="G28" s="216">
        <f>IF('Входящие данные'!E27=0,0,Кредитование!D8)</f>
        <v>0</v>
      </c>
      <c r="H28" s="188"/>
      <c r="K28" s="115"/>
    </row>
    <row r="29" spans="1:11" s="109" customFormat="1" ht="19.5" customHeight="1">
      <c r="A29" s="136"/>
      <c r="B29" s="142"/>
      <c r="C29" s="570" t="s">
        <v>21</v>
      </c>
      <c r="D29" s="571"/>
      <c r="E29" s="571"/>
      <c r="F29" s="572"/>
      <c r="G29" s="211">
        <f>SUM(G30:G30)</f>
        <v>0</v>
      </c>
      <c r="H29" s="141"/>
      <c r="I29" s="136"/>
      <c r="J29" s="136"/>
      <c r="K29" s="117"/>
    </row>
    <row r="30" spans="1:11" s="109" customFormat="1" ht="19.5" customHeight="1">
      <c r="A30" s="136"/>
      <c r="B30" s="142"/>
      <c r="C30" s="465" t="s">
        <v>158</v>
      </c>
      <c r="D30" s="498" t="s">
        <v>188</v>
      </c>
      <c r="E30" s="424">
        <f>'Допущения и ограничения'!D21*1000</f>
        <v>0</v>
      </c>
      <c r="F30" s="426"/>
      <c r="G30" s="217">
        <f>E30*'Входящие данные'!E22</f>
        <v>0</v>
      </c>
      <c r="H30" s="141"/>
      <c r="I30" s="136"/>
      <c r="J30" s="136"/>
      <c r="K30" s="117"/>
    </row>
    <row r="31" spans="1:11" s="109" customFormat="1" ht="19.5" customHeight="1">
      <c r="A31" s="136"/>
      <c r="B31" s="142"/>
      <c r="C31" s="582" t="s">
        <v>128</v>
      </c>
      <c r="D31" s="583"/>
      <c r="E31" s="583"/>
      <c r="F31" s="584"/>
      <c r="G31" s="211">
        <f>SUM(G32:G36)</f>
        <v>61568.705774550399</v>
      </c>
      <c r="H31" s="141"/>
      <c r="I31" s="136"/>
      <c r="J31" s="136"/>
      <c r="K31" s="117"/>
    </row>
    <row r="32" spans="1:11" s="109" customFormat="1" ht="19.5" customHeight="1">
      <c r="A32" s="136"/>
      <c r="B32" s="142"/>
      <c r="C32" s="579" t="s">
        <v>153</v>
      </c>
      <c r="D32" s="580"/>
      <c r="E32" s="580"/>
      <c r="F32" s="581"/>
      <c r="G32" s="500">
        <f>3000*'Входящие данные'!$E$22</f>
        <v>9000</v>
      </c>
      <c r="H32" s="141"/>
      <c r="I32" s="136"/>
      <c r="J32" s="136"/>
      <c r="K32" s="117"/>
    </row>
    <row r="33" spans="1:11" s="109" customFormat="1" ht="19.5" customHeight="1">
      <c r="A33" s="136"/>
      <c r="B33" s="142"/>
      <c r="C33" s="579" t="s">
        <v>149</v>
      </c>
      <c r="D33" s="580"/>
      <c r="E33" s="580"/>
      <c r="F33" s="581"/>
      <c r="G33" s="500">
        <f>2000*'Входящие данные'!$E$22</f>
        <v>6000</v>
      </c>
      <c r="H33" s="141"/>
      <c r="I33" s="136"/>
      <c r="J33" s="136"/>
      <c r="K33" s="117"/>
    </row>
    <row r="34" spans="1:11" s="109" customFormat="1" ht="19.5" customHeight="1">
      <c r="A34" s="136"/>
      <c r="B34" s="142"/>
      <c r="C34" s="439" t="s">
        <v>189</v>
      </c>
      <c r="D34" s="440"/>
      <c r="E34" s="440"/>
      <c r="F34" s="441"/>
      <c r="G34" s="500">
        <f>5000*'Входящие данные'!$E$22</f>
        <v>15000</v>
      </c>
      <c r="H34" s="141"/>
      <c r="I34" s="136"/>
      <c r="J34" s="136"/>
      <c r="K34" s="117"/>
    </row>
    <row r="35" spans="1:11" s="109" customFormat="1" ht="19.5" customHeight="1">
      <c r="A35" s="136"/>
      <c r="B35" s="142"/>
      <c r="C35" s="439" t="s">
        <v>157</v>
      </c>
      <c r="D35" s="440"/>
      <c r="E35" s="440"/>
      <c r="F35" s="441"/>
      <c r="G35" s="500">
        <f>5000*'Входящие данные'!$E$22</f>
        <v>15000</v>
      </c>
      <c r="H35" s="141"/>
      <c r="I35" s="136"/>
      <c r="J35" s="136"/>
      <c r="K35" s="117"/>
    </row>
    <row r="36" spans="1:11" s="109" customFormat="1" ht="19.5" customHeight="1">
      <c r="A36" s="136"/>
      <c r="B36" s="142"/>
      <c r="C36" s="448" t="s">
        <v>159</v>
      </c>
      <c r="D36" s="458"/>
      <c r="E36" s="499">
        <v>5.0000000000000001E-3</v>
      </c>
      <c r="F36" s="425" t="s">
        <v>160</v>
      </c>
      <c r="G36" s="457">
        <f>E36*Продажи!D47</f>
        <v>16568.705774550395</v>
      </c>
      <c r="H36" s="141"/>
      <c r="I36" s="136"/>
      <c r="J36" s="136"/>
      <c r="K36" s="117"/>
    </row>
    <row r="37" spans="1:11" ht="19.5" customHeight="1">
      <c r="B37" s="142"/>
      <c r="C37" s="567" t="s">
        <v>3</v>
      </c>
      <c r="D37" s="568"/>
      <c r="E37" s="568"/>
      <c r="F37" s="569"/>
      <c r="G37" s="204">
        <f>G19+G23+G25+G27+G29+G31</f>
        <v>792062.0885892096</v>
      </c>
      <c r="H37" s="188"/>
    </row>
    <row r="38" spans="1:11" s="109" customFormat="1" ht="15.75" customHeight="1" thickBot="1">
      <c r="A38" s="136"/>
      <c r="B38" s="160"/>
      <c r="C38" s="161"/>
      <c r="D38" s="161"/>
      <c r="E38" s="161"/>
      <c r="F38" s="161"/>
      <c r="G38" s="218"/>
      <c r="H38" s="219"/>
      <c r="I38" s="136"/>
      <c r="J38" s="136"/>
    </row>
    <row r="39" spans="1:11" s="109" customFormat="1" ht="15.75" customHeight="1">
      <c r="A39" s="136"/>
      <c r="B39" s="133"/>
      <c r="C39" s="220"/>
      <c r="D39" s="133"/>
      <c r="E39" s="133"/>
      <c r="F39" s="133"/>
      <c r="G39" s="146"/>
      <c r="H39" s="221"/>
      <c r="I39" s="136"/>
      <c r="J39" s="136"/>
    </row>
    <row r="40" spans="1:11" s="109" customFormat="1" ht="15.75" customHeight="1">
      <c r="A40" s="136"/>
      <c r="B40" s="133"/>
      <c r="C40" s="133"/>
      <c r="D40" s="133"/>
      <c r="E40" s="133"/>
      <c r="F40" s="133"/>
      <c r="G40" s="146"/>
      <c r="H40" s="221"/>
      <c r="I40" s="136"/>
      <c r="J40" s="136"/>
    </row>
    <row r="41" spans="1:11" ht="15.75" customHeight="1">
      <c r="B41" s="133"/>
      <c r="C41" s="133"/>
      <c r="D41" s="133"/>
      <c r="E41" s="133"/>
      <c r="F41" s="133"/>
      <c r="G41" s="146"/>
      <c r="H41" s="221"/>
    </row>
    <row r="42" spans="1:11" ht="15" customHeight="1">
      <c r="B42" s="133"/>
      <c r="C42" s="133"/>
      <c r="D42" s="133"/>
      <c r="E42" s="133"/>
      <c r="F42" s="133"/>
      <c r="G42" s="146"/>
      <c r="H42" s="221"/>
    </row>
    <row r="43" spans="1:11">
      <c r="B43" s="133"/>
      <c r="C43" s="133"/>
      <c r="D43" s="133"/>
      <c r="E43" s="133"/>
      <c r="F43" s="133"/>
      <c r="G43" s="146"/>
      <c r="H43" s="221"/>
    </row>
    <row r="44" spans="1:11" ht="15" customHeight="1">
      <c r="B44" s="133"/>
      <c r="C44" s="133"/>
      <c r="D44" s="133"/>
      <c r="E44" s="133"/>
      <c r="F44" s="133"/>
      <c r="G44" s="146"/>
      <c r="H44" s="221"/>
    </row>
    <row r="45" spans="1:11" ht="15" customHeight="1">
      <c r="B45" s="133"/>
      <c r="C45" s="133"/>
      <c r="D45" s="133"/>
      <c r="E45" s="133"/>
      <c r="F45" s="133"/>
      <c r="G45" s="146"/>
      <c r="H45" s="221"/>
    </row>
    <row r="46" spans="1:11" ht="15" customHeight="1">
      <c r="B46" s="133"/>
      <c r="C46" s="133"/>
      <c r="D46" s="133"/>
      <c r="E46" s="133"/>
      <c r="F46" s="133"/>
      <c r="G46" s="146"/>
      <c r="H46" s="221"/>
    </row>
    <row r="47" spans="1:11">
      <c r="B47" s="133"/>
      <c r="C47" s="133"/>
      <c r="D47" s="133"/>
      <c r="E47" s="133"/>
      <c r="F47" s="133"/>
      <c r="G47" s="146"/>
      <c r="H47" s="221"/>
    </row>
    <row r="48" spans="1:11">
      <c r="B48" s="133"/>
      <c r="C48" s="133"/>
      <c r="D48" s="133"/>
      <c r="E48" s="133"/>
      <c r="F48" s="133"/>
      <c r="G48" s="146"/>
      <c r="H48" s="221"/>
    </row>
    <row r="49" spans="2:8">
      <c r="B49" s="133"/>
      <c r="C49" s="133"/>
      <c r="D49" s="133"/>
      <c r="E49" s="133"/>
      <c r="F49" s="133"/>
      <c r="G49" s="146"/>
      <c r="H49" s="221"/>
    </row>
    <row r="50" spans="2:8">
      <c r="B50" s="133"/>
      <c r="C50" s="133"/>
      <c r="D50" s="133"/>
      <c r="E50" s="133"/>
      <c r="F50" s="133"/>
      <c r="G50" s="146"/>
      <c r="H50" s="221"/>
    </row>
    <row r="51" spans="2:8">
      <c r="B51" s="133"/>
      <c r="C51" s="133"/>
      <c r="D51" s="133"/>
      <c r="E51" s="133"/>
      <c r="F51" s="133"/>
      <c r="G51" s="146"/>
      <c r="H51" s="221"/>
    </row>
    <row r="52" spans="2:8">
      <c r="C52" s="133"/>
      <c r="D52" s="133"/>
      <c r="E52" s="133"/>
      <c r="F52" s="133"/>
      <c r="G52" s="146"/>
    </row>
    <row r="53" spans="2:8">
      <c r="C53" s="133"/>
      <c r="D53" s="133"/>
      <c r="E53" s="133"/>
      <c r="F53" s="133"/>
      <c r="G53" s="146"/>
    </row>
  </sheetData>
  <mergeCells count="18">
    <mergeCell ref="C37:F37"/>
    <mergeCell ref="C29:F29"/>
    <mergeCell ref="C16:G16"/>
    <mergeCell ref="C25:F25"/>
    <mergeCell ref="C23:F23"/>
    <mergeCell ref="C27:F27"/>
    <mergeCell ref="C28:F28"/>
    <mergeCell ref="C31:F31"/>
    <mergeCell ref="C32:F32"/>
    <mergeCell ref="C33:F33"/>
    <mergeCell ref="C19:F19"/>
    <mergeCell ref="C17:F17"/>
    <mergeCell ref="K9:P11"/>
    <mergeCell ref="K12:P12"/>
    <mergeCell ref="K13:P13"/>
    <mergeCell ref="C9:G10"/>
    <mergeCell ref="C11:G12"/>
    <mergeCell ref="C13:G14"/>
  </mergeCells>
  <pageMargins left="0.7" right="0.7" top="0.75" bottom="0.75" header="0.3" footer="0.3"/>
  <pageSetup paperSize="9" orientation="portrait" r:id="rId1"/>
  <ignoredErrors>
    <ignoredError sqref="G28" formula="1"/>
  </ignoredErrors>
  <drawing r:id="rId2"/>
</worksheet>
</file>

<file path=xl/worksheets/sheet7.xml><?xml version="1.0" encoding="utf-8"?>
<worksheet xmlns="http://schemas.openxmlformats.org/spreadsheetml/2006/main" xmlns:r="http://schemas.openxmlformats.org/officeDocument/2006/relationships">
  <sheetPr codeName="Лист7">
    <tabColor rgb="FF3AAA35"/>
    <pageSetUpPr fitToPage="1"/>
  </sheetPr>
  <dimension ref="A1:AW60"/>
  <sheetViews>
    <sheetView showGridLines="0" zoomScale="75" zoomScaleNormal="75" workbookViewId="0">
      <selection activeCell="A2" sqref="A2"/>
    </sheetView>
  </sheetViews>
  <sheetFormatPr defaultColWidth="15.140625" defaultRowHeight="15" customHeight="1" outlineLevelRow="1"/>
  <cols>
    <col min="1" max="2" width="10.7109375" style="136" customWidth="1"/>
    <col min="3" max="3" width="62" style="136" customWidth="1"/>
    <col min="4" max="4" width="17.28515625" style="136" customWidth="1"/>
    <col min="5" max="40" width="14.5703125" style="136" customWidth="1"/>
    <col min="41" max="41" width="10.7109375" style="136" customWidth="1"/>
    <col min="42" max="49" width="15.140625" style="136"/>
    <col min="50" max="16384" width="15.140625" style="1"/>
  </cols>
  <sheetData>
    <row r="1" spans="1:49" ht="15" customHeight="1" thickBot="1"/>
    <row r="2" spans="1:49" ht="20.25" customHeight="1">
      <c r="B2" s="137"/>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40"/>
    </row>
    <row r="3" spans="1:49" ht="20.25">
      <c r="B3" s="517"/>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99"/>
    </row>
    <row r="4" spans="1:49" ht="37.5" customHeight="1">
      <c r="B4" s="142"/>
      <c r="C4" s="250"/>
      <c r="D4" s="251"/>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2"/>
    </row>
    <row r="5" spans="1:49" ht="24.75" customHeight="1">
      <c r="B5" s="142"/>
      <c r="C5" s="133"/>
      <c r="D5" s="133"/>
      <c r="E5" s="133"/>
      <c r="F5" s="133"/>
      <c r="G5" s="133"/>
      <c r="H5" s="133"/>
      <c r="I5" s="133"/>
      <c r="J5" s="133"/>
      <c r="K5" s="133"/>
      <c r="L5" s="253"/>
      <c r="M5" s="253"/>
      <c r="N5" s="254"/>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141"/>
    </row>
    <row r="6" spans="1:49" ht="26.25" customHeight="1">
      <c r="B6" s="142"/>
      <c r="C6" s="133"/>
      <c r="D6" s="133"/>
      <c r="E6" s="133"/>
      <c r="F6" s="133"/>
      <c r="G6" s="133"/>
      <c r="H6" s="133"/>
      <c r="I6" s="133"/>
      <c r="J6" s="133"/>
      <c r="K6" s="133"/>
      <c r="L6" s="223"/>
      <c r="M6" s="255"/>
      <c r="N6" s="254"/>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141"/>
    </row>
    <row r="7" spans="1:49" ht="26.25" customHeight="1">
      <c r="B7" s="142"/>
      <c r="C7" s="133"/>
      <c r="D7" s="133"/>
      <c r="E7" s="133"/>
      <c r="F7" s="133"/>
      <c r="G7" s="133"/>
      <c r="H7" s="256" t="s">
        <v>109</v>
      </c>
      <c r="I7" s="190"/>
      <c r="J7" s="190"/>
      <c r="K7" s="25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41"/>
    </row>
    <row r="8" spans="1:49" ht="15" customHeight="1">
      <c r="B8" s="142"/>
      <c r="C8" s="133"/>
      <c r="D8" s="133"/>
      <c r="E8" s="133"/>
      <c r="F8" s="133"/>
      <c r="G8" s="133"/>
      <c r="H8" s="502"/>
      <c r="I8" s="542" t="s">
        <v>4</v>
      </c>
      <c r="J8" s="600"/>
      <c r="K8" s="444"/>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141"/>
    </row>
    <row r="9" spans="1:49" s="93" customFormat="1" ht="15" customHeight="1">
      <c r="A9" s="136"/>
      <c r="B9" s="142"/>
      <c r="C9" s="133"/>
      <c r="D9" s="133"/>
      <c r="E9" s="133"/>
      <c r="F9" s="133"/>
      <c r="G9" s="133"/>
      <c r="H9" s="147"/>
      <c r="I9" s="600" t="s">
        <v>5</v>
      </c>
      <c r="J9" s="600"/>
      <c r="K9" s="600"/>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141"/>
      <c r="AP9" s="136"/>
      <c r="AQ9" s="136"/>
      <c r="AR9" s="136"/>
      <c r="AS9" s="136"/>
      <c r="AT9" s="136"/>
      <c r="AU9" s="136"/>
      <c r="AV9" s="136"/>
      <c r="AW9" s="136"/>
    </row>
    <row r="10" spans="1:49" s="109" customFormat="1" ht="15" customHeight="1" thickBot="1">
      <c r="A10" s="136"/>
      <c r="B10" s="142"/>
      <c r="C10" s="133"/>
      <c r="D10" s="133"/>
      <c r="E10" s="133"/>
      <c r="F10" s="133"/>
      <c r="G10" s="133"/>
      <c r="H10" s="222"/>
      <c r="I10" s="444"/>
      <c r="J10" s="444"/>
      <c r="K10" s="444"/>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141"/>
      <c r="AP10" s="136"/>
      <c r="AQ10" s="136"/>
      <c r="AR10" s="136"/>
      <c r="AS10" s="136"/>
      <c r="AT10" s="136"/>
      <c r="AU10" s="136"/>
      <c r="AV10" s="136"/>
      <c r="AW10" s="136"/>
    </row>
    <row r="11" spans="1:49" s="121" customFormat="1" ht="29.25" customHeight="1">
      <c r="A11" s="152"/>
      <c r="B11" s="150"/>
      <c r="C11" s="604" t="s">
        <v>136</v>
      </c>
      <c r="D11" s="604"/>
      <c r="E11" s="604"/>
      <c r="F11" s="604"/>
      <c r="G11" s="604"/>
      <c r="H11" s="604"/>
      <c r="I11" s="604"/>
      <c r="J11" s="444"/>
      <c r="K11" s="444"/>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7"/>
      <c r="AP11" s="152"/>
      <c r="AQ11" s="152"/>
      <c r="AR11" s="152"/>
      <c r="AS11" s="152"/>
      <c r="AT11" s="152"/>
      <c r="AU11" s="152"/>
      <c r="AV11" s="152"/>
      <c r="AW11" s="152"/>
    </row>
    <row r="12" spans="1:49" s="121" customFormat="1" ht="29.25" customHeight="1">
      <c r="A12" s="152"/>
      <c r="B12" s="150"/>
      <c r="C12" s="605" t="s">
        <v>193</v>
      </c>
      <c r="D12" s="605"/>
      <c r="E12" s="605"/>
      <c r="F12" s="605"/>
      <c r="G12" s="605"/>
      <c r="H12" s="605"/>
      <c r="I12" s="605"/>
      <c r="J12" s="444"/>
      <c r="K12" s="444"/>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7"/>
      <c r="AP12" s="152"/>
      <c r="AQ12" s="152"/>
      <c r="AR12" s="152"/>
      <c r="AS12" s="152"/>
      <c r="AT12" s="152"/>
      <c r="AU12" s="152"/>
      <c r="AV12" s="152"/>
      <c r="AW12" s="152"/>
    </row>
    <row r="13" spans="1:49" s="121" customFormat="1" ht="29.25" customHeight="1" thickBot="1">
      <c r="A13" s="152"/>
      <c r="B13" s="150"/>
      <c r="C13" s="533" t="s">
        <v>145</v>
      </c>
      <c r="D13" s="533"/>
      <c r="E13" s="533"/>
      <c r="F13" s="533"/>
      <c r="G13" s="533"/>
      <c r="H13" s="533"/>
      <c r="I13" s="533"/>
      <c r="J13" s="258"/>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7"/>
      <c r="AP13" s="152"/>
      <c r="AQ13" s="152"/>
      <c r="AR13" s="152"/>
      <c r="AS13" s="152"/>
      <c r="AT13" s="152"/>
      <c r="AU13" s="152"/>
      <c r="AV13" s="152"/>
      <c r="AW13" s="152"/>
    </row>
    <row r="14" spans="1:49" s="121" customFormat="1" ht="25.5" customHeight="1">
      <c r="A14" s="152"/>
      <c r="B14" s="150"/>
      <c r="C14" s="123"/>
      <c r="D14" s="123"/>
      <c r="E14" s="408"/>
      <c r="F14" s="408"/>
      <c r="G14" s="408"/>
      <c r="H14" s="123"/>
      <c r="I14" s="123"/>
      <c r="J14" s="259"/>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7"/>
      <c r="AP14" s="152"/>
      <c r="AQ14" s="152"/>
      <c r="AR14" s="152"/>
      <c r="AS14" s="152"/>
      <c r="AT14" s="152"/>
      <c r="AU14" s="152"/>
      <c r="AV14" s="152"/>
      <c r="AW14" s="152"/>
    </row>
    <row r="15" spans="1:49" ht="22.5">
      <c r="B15" s="142"/>
      <c r="C15" s="133"/>
      <c r="D15" s="594" t="s">
        <v>12</v>
      </c>
      <c r="E15" s="595"/>
      <c r="F15" s="595"/>
      <c r="G15" s="595"/>
      <c r="H15" s="595"/>
      <c r="I15" s="596"/>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133"/>
      <c r="AI15" s="133"/>
      <c r="AJ15" s="133"/>
      <c r="AK15" s="133"/>
      <c r="AL15" s="133"/>
      <c r="AM15" s="133"/>
      <c r="AN15" s="133"/>
      <c r="AO15" s="141"/>
    </row>
    <row r="16" spans="1:49" s="2" customFormat="1" ht="18.75" hidden="1" customHeight="1" outlineLevel="1">
      <c r="A16" s="136"/>
      <c r="B16" s="142"/>
      <c r="C16" s="133"/>
      <c r="D16" s="261" t="s">
        <v>13</v>
      </c>
      <c r="E16" s="591" t="s">
        <v>22</v>
      </c>
      <c r="F16" s="592"/>
      <c r="G16" s="593"/>
      <c r="H16" s="262" t="s">
        <v>88</v>
      </c>
      <c r="I16" s="263" t="s">
        <v>65</v>
      </c>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33"/>
      <c r="AI16" s="133"/>
      <c r="AJ16" s="133"/>
      <c r="AK16" s="133"/>
      <c r="AL16" s="133"/>
      <c r="AM16" s="133"/>
      <c r="AN16" s="133"/>
      <c r="AO16" s="141"/>
      <c r="AP16" s="136"/>
      <c r="AQ16" s="136"/>
      <c r="AR16" s="136"/>
      <c r="AS16" s="136"/>
      <c r="AT16" s="136"/>
      <c r="AU16" s="136"/>
      <c r="AV16" s="136"/>
      <c r="AW16" s="136"/>
    </row>
    <row r="17" spans="1:49" s="2" customFormat="1" ht="18.75" hidden="1" customHeight="1" outlineLevel="1">
      <c r="A17" s="136"/>
      <c r="B17" s="142"/>
      <c r="C17" s="133"/>
      <c r="D17" s="264">
        <v>1</v>
      </c>
      <c r="E17" s="601" t="s">
        <v>66</v>
      </c>
      <c r="F17" s="602"/>
      <c r="G17" s="603"/>
      <c r="H17" s="503">
        <v>500</v>
      </c>
      <c r="I17" s="265"/>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189"/>
      <c r="AH17" s="133"/>
      <c r="AI17" s="133"/>
      <c r="AJ17" s="133"/>
      <c r="AK17" s="133"/>
      <c r="AL17" s="133"/>
      <c r="AM17" s="133"/>
      <c r="AN17" s="133"/>
      <c r="AO17" s="141"/>
      <c r="AP17" s="136"/>
      <c r="AQ17" s="136"/>
      <c r="AR17" s="136"/>
      <c r="AS17" s="136"/>
      <c r="AT17" s="136"/>
      <c r="AU17" s="136"/>
      <c r="AV17" s="136"/>
      <c r="AW17" s="136"/>
    </row>
    <row r="18" spans="1:49" s="2" customFormat="1" ht="18.75" hidden="1" customHeight="1" outlineLevel="1">
      <c r="A18" s="136"/>
      <c r="B18" s="142"/>
      <c r="C18" s="133"/>
      <c r="D18" s="264">
        <v>2</v>
      </c>
      <c r="E18" s="601" t="s">
        <v>190</v>
      </c>
      <c r="F18" s="602"/>
      <c r="G18" s="603"/>
      <c r="H18" s="504">
        <v>300</v>
      </c>
      <c r="I18" s="267">
        <f>H18/H17</f>
        <v>0.6</v>
      </c>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189"/>
      <c r="AH18" s="133"/>
      <c r="AI18" s="133"/>
      <c r="AJ18" s="133"/>
      <c r="AK18" s="133"/>
      <c r="AL18" s="133"/>
      <c r="AM18" s="133"/>
      <c r="AN18" s="133"/>
      <c r="AO18" s="141"/>
      <c r="AP18" s="136"/>
      <c r="AQ18" s="136"/>
      <c r="AR18" s="136"/>
      <c r="AS18" s="136"/>
      <c r="AT18" s="136"/>
      <c r="AU18" s="136"/>
      <c r="AV18" s="136"/>
      <c r="AW18" s="136"/>
    </row>
    <row r="19" spans="1:49" s="2" customFormat="1" ht="18.75" hidden="1" customHeight="1" outlineLevel="1">
      <c r="A19" s="136"/>
      <c r="B19" s="142"/>
      <c r="C19" s="133"/>
      <c r="D19" s="264">
        <v>3</v>
      </c>
      <c r="E19" s="588" t="s">
        <v>191</v>
      </c>
      <c r="F19" s="589"/>
      <c r="G19" s="590"/>
      <c r="H19" s="505">
        <v>10</v>
      </c>
      <c r="I19" s="267">
        <f>H19/H18</f>
        <v>3.3333333333333333E-2</v>
      </c>
      <c r="J19" s="189"/>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189"/>
      <c r="AH19" s="133"/>
      <c r="AI19" s="133"/>
      <c r="AJ19" s="133"/>
      <c r="AK19" s="133"/>
      <c r="AL19" s="133"/>
      <c r="AM19" s="133"/>
      <c r="AN19" s="133"/>
      <c r="AO19" s="141"/>
      <c r="AP19" s="136"/>
      <c r="AQ19" s="136"/>
      <c r="AR19" s="136"/>
      <c r="AS19" s="136"/>
      <c r="AT19" s="136"/>
      <c r="AU19" s="136"/>
      <c r="AV19" s="136"/>
      <c r="AW19" s="136"/>
    </row>
    <row r="20" spans="1:49" s="2" customFormat="1" ht="15.75" hidden="1" customHeight="1" outlineLevel="1">
      <c r="A20" s="136"/>
      <c r="B20" s="142"/>
      <c r="C20" s="133"/>
      <c r="D20" s="264">
        <v>4</v>
      </c>
      <c r="E20" s="601" t="s">
        <v>192</v>
      </c>
      <c r="F20" s="602"/>
      <c r="G20" s="603"/>
      <c r="H20" s="505">
        <v>3</v>
      </c>
      <c r="I20" s="267">
        <f>H20/H19</f>
        <v>0.3</v>
      </c>
      <c r="J20" s="189"/>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189"/>
      <c r="AH20" s="133"/>
      <c r="AI20" s="133"/>
      <c r="AJ20" s="133"/>
      <c r="AK20" s="133"/>
      <c r="AL20" s="133"/>
      <c r="AM20" s="133"/>
      <c r="AN20" s="133"/>
      <c r="AO20" s="141"/>
      <c r="AP20" s="136"/>
      <c r="AQ20" s="136"/>
      <c r="AR20" s="136"/>
      <c r="AS20" s="136"/>
      <c r="AT20" s="136"/>
      <c r="AU20" s="136"/>
      <c r="AV20" s="136"/>
      <c r="AW20" s="136"/>
    </row>
    <row r="21" spans="1:49" s="2" customFormat="1" ht="18.75" hidden="1" customHeight="1" outlineLevel="1">
      <c r="A21" s="136"/>
      <c r="B21" s="142"/>
      <c r="C21" s="133"/>
      <c r="D21" s="264">
        <v>5</v>
      </c>
      <c r="E21" s="588" t="s">
        <v>118</v>
      </c>
      <c r="F21" s="589"/>
      <c r="G21" s="590"/>
      <c r="H21" s="505">
        <v>2</v>
      </c>
      <c r="I21" s="267">
        <f>H21/H20</f>
        <v>0.66666666666666663</v>
      </c>
      <c r="J21" s="189"/>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189"/>
      <c r="AH21" s="133"/>
      <c r="AI21" s="133"/>
      <c r="AJ21" s="133"/>
      <c r="AK21" s="133"/>
      <c r="AL21" s="133"/>
      <c r="AM21" s="133"/>
      <c r="AN21" s="133"/>
      <c r="AO21" s="141"/>
      <c r="AP21" s="136"/>
      <c r="AQ21" s="136"/>
      <c r="AR21" s="136"/>
      <c r="AS21" s="136"/>
      <c r="AT21" s="136"/>
      <c r="AU21" s="136"/>
      <c r="AV21" s="136"/>
      <c r="AW21" s="136"/>
    </row>
    <row r="22" spans="1:49" s="109" customFormat="1" ht="15" customHeight="1" collapsed="1">
      <c r="A22" s="136"/>
      <c r="B22" s="142"/>
      <c r="C22" s="133"/>
      <c r="D22" s="268"/>
      <c r="E22" s="268"/>
      <c r="F22" s="268"/>
      <c r="G22" s="268"/>
      <c r="H22" s="269"/>
      <c r="I22" s="270"/>
      <c r="J22" s="189"/>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189"/>
      <c r="AO22" s="141"/>
      <c r="AP22" s="136"/>
      <c r="AQ22" s="136"/>
      <c r="AR22" s="136"/>
      <c r="AS22" s="136"/>
      <c r="AT22" s="136"/>
      <c r="AU22" s="136"/>
      <c r="AV22" s="136"/>
      <c r="AW22" s="136"/>
    </row>
    <row r="23" spans="1:49" s="2" customFormat="1" ht="24.75" customHeight="1">
      <c r="A23" s="136"/>
      <c r="B23" s="142"/>
      <c r="C23" s="410" t="s">
        <v>101</v>
      </c>
      <c r="D23" s="271"/>
      <c r="E23" s="272">
        <f>MONTH(E24)</f>
        <v>4</v>
      </c>
      <c r="F23" s="272">
        <f t="shared" ref="F23:AM23" si="0">MONTH(F24)</f>
        <v>5</v>
      </c>
      <c r="G23" s="272">
        <f t="shared" si="0"/>
        <v>6</v>
      </c>
      <c r="H23" s="272">
        <f t="shared" si="0"/>
        <v>7</v>
      </c>
      <c r="I23" s="272">
        <f t="shared" si="0"/>
        <v>8</v>
      </c>
      <c r="J23" s="272">
        <f t="shared" si="0"/>
        <v>9</v>
      </c>
      <c r="K23" s="272">
        <f t="shared" si="0"/>
        <v>10</v>
      </c>
      <c r="L23" s="272">
        <f t="shared" si="0"/>
        <v>11</v>
      </c>
      <c r="M23" s="272">
        <f t="shared" si="0"/>
        <v>12</v>
      </c>
      <c r="N23" s="272">
        <f t="shared" si="0"/>
        <v>1</v>
      </c>
      <c r="O23" s="272">
        <f t="shared" si="0"/>
        <v>2</v>
      </c>
      <c r="P23" s="272">
        <f t="shared" si="0"/>
        <v>3</v>
      </c>
      <c r="Q23" s="272">
        <f t="shared" si="0"/>
        <v>4</v>
      </c>
      <c r="R23" s="272">
        <f t="shared" si="0"/>
        <v>5</v>
      </c>
      <c r="S23" s="272">
        <f t="shared" si="0"/>
        <v>6</v>
      </c>
      <c r="T23" s="272">
        <f t="shared" si="0"/>
        <v>7</v>
      </c>
      <c r="U23" s="272">
        <f t="shared" si="0"/>
        <v>8</v>
      </c>
      <c r="V23" s="272">
        <f t="shared" si="0"/>
        <v>9</v>
      </c>
      <c r="W23" s="272">
        <f t="shared" si="0"/>
        <v>10</v>
      </c>
      <c r="X23" s="272">
        <f t="shared" si="0"/>
        <v>11</v>
      </c>
      <c r="Y23" s="272">
        <f t="shared" si="0"/>
        <v>12</v>
      </c>
      <c r="Z23" s="272">
        <f t="shared" si="0"/>
        <v>1</v>
      </c>
      <c r="AA23" s="272">
        <f t="shared" si="0"/>
        <v>2</v>
      </c>
      <c r="AB23" s="272">
        <f t="shared" si="0"/>
        <v>3</v>
      </c>
      <c r="AC23" s="272">
        <f t="shared" si="0"/>
        <v>4</v>
      </c>
      <c r="AD23" s="272">
        <f t="shared" si="0"/>
        <v>5</v>
      </c>
      <c r="AE23" s="272">
        <f t="shared" si="0"/>
        <v>6</v>
      </c>
      <c r="AF23" s="272">
        <f t="shared" si="0"/>
        <v>7</v>
      </c>
      <c r="AG23" s="272">
        <f t="shared" si="0"/>
        <v>8</v>
      </c>
      <c r="AH23" s="272">
        <f t="shared" si="0"/>
        <v>9</v>
      </c>
      <c r="AI23" s="272">
        <f t="shared" si="0"/>
        <v>10</v>
      </c>
      <c r="AJ23" s="272">
        <f t="shared" si="0"/>
        <v>11</v>
      </c>
      <c r="AK23" s="272">
        <f t="shared" si="0"/>
        <v>12</v>
      </c>
      <c r="AL23" s="272">
        <f t="shared" si="0"/>
        <v>1</v>
      </c>
      <c r="AM23" s="272">
        <f t="shared" si="0"/>
        <v>2</v>
      </c>
      <c r="AN23" s="273">
        <f>MONTH(AN24)</f>
        <v>3</v>
      </c>
      <c r="AO23" s="141"/>
      <c r="AP23" s="136"/>
      <c r="AQ23" s="136"/>
      <c r="AR23" s="136"/>
      <c r="AS23" s="136"/>
      <c r="AT23" s="136"/>
      <c r="AU23" s="136"/>
      <c r="AV23" s="136"/>
      <c r="AW23" s="136"/>
    </row>
    <row r="24" spans="1:49" s="413" customFormat="1" ht="19.5" customHeight="1">
      <c r="A24" s="358"/>
      <c r="B24" s="412"/>
      <c r="C24" s="606" t="s">
        <v>55</v>
      </c>
      <c r="D24" s="607"/>
      <c r="E24" s="411">
        <f>'Входящие данные'!E24</f>
        <v>42826</v>
      </c>
      <c r="F24" s="411">
        <f>E24+31</f>
        <v>42857</v>
      </c>
      <c r="G24" s="411">
        <f t="shared" ref="G24:AN24" si="1">F24+31</f>
        <v>42888</v>
      </c>
      <c r="H24" s="411">
        <f t="shared" si="1"/>
        <v>42919</v>
      </c>
      <c r="I24" s="411">
        <f t="shared" si="1"/>
        <v>42950</v>
      </c>
      <c r="J24" s="411">
        <f t="shared" si="1"/>
        <v>42981</v>
      </c>
      <c r="K24" s="411">
        <f t="shared" si="1"/>
        <v>43012</v>
      </c>
      <c r="L24" s="411">
        <f t="shared" si="1"/>
        <v>43043</v>
      </c>
      <c r="M24" s="411">
        <f t="shared" si="1"/>
        <v>43074</v>
      </c>
      <c r="N24" s="411">
        <f t="shared" si="1"/>
        <v>43105</v>
      </c>
      <c r="O24" s="411">
        <f t="shared" si="1"/>
        <v>43136</v>
      </c>
      <c r="P24" s="411">
        <f t="shared" si="1"/>
        <v>43167</v>
      </c>
      <c r="Q24" s="411">
        <f t="shared" si="1"/>
        <v>43198</v>
      </c>
      <c r="R24" s="411">
        <f t="shared" si="1"/>
        <v>43229</v>
      </c>
      <c r="S24" s="411">
        <f t="shared" si="1"/>
        <v>43260</v>
      </c>
      <c r="T24" s="411">
        <f t="shared" si="1"/>
        <v>43291</v>
      </c>
      <c r="U24" s="411">
        <f t="shared" si="1"/>
        <v>43322</v>
      </c>
      <c r="V24" s="411">
        <f t="shared" si="1"/>
        <v>43353</v>
      </c>
      <c r="W24" s="411">
        <f t="shared" si="1"/>
        <v>43384</v>
      </c>
      <c r="X24" s="411">
        <f t="shared" si="1"/>
        <v>43415</v>
      </c>
      <c r="Y24" s="411">
        <f t="shared" si="1"/>
        <v>43446</v>
      </c>
      <c r="Z24" s="411">
        <f t="shared" si="1"/>
        <v>43477</v>
      </c>
      <c r="AA24" s="411">
        <f t="shared" si="1"/>
        <v>43508</v>
      </c>
      <c r="AB24" s="411">
        <f t="shared" si="1"/>
        <v>43539</v>
      </c>
      <c r="AC24" s="411">
        <f t="shared" si="1"/>
        <v>43570</v>
      </c>
      <c r="AD24" s="411">
        <f t="shared" si="1"/>
        <v>43601</v>
      </c>
      <c r="AE24" s="411">
        <f t="shared" si="1"/>
        <v>43632</v>
      </c>
      <c r="AF24" s="411">
        <f t="shared" si="1"/>
        <v>43663</v>
      </c>
      <c r="AG24" s="411">
        <f t="shared" si="1"/>
        <v>43694</v>
      </c>
      <c r="AH24" s="411">
        <f t="shared" si="1"/>
        <v>43725</v>
      </c>
      <c r="AI24" s="411">
        <f t="shared" si="1"/>
        <v>43756</v>
      </c>
      <c r="AJ24" s="411">
        <f t="shared" si="1"/>
        <v>43787</v>
      </c>
      <c r="AK24" s="411">
        <f t="shared" si="1"/>
        <v>43818</v>
      </c>
      <c r="AL24" s="411">
        <f t="shared" si="1"/>
        <v>43849</v>
      </c>
      <c r="AM24" s="411">
        <f t="shared" si="1"/>
        <v>43880</v>
      </c>
      <c r="AN24" s="411">
        <f t="shared" si="1"/>
        <v>43911</v>
      </c>
      <c r="AO24" s="197"/>
      <c r="AP24" s="358"/>
      <c r="AQ24" s="358"/>
      <c r="AR24" s="358"/>
      <c r="AS24" s="358"/>
      <c r="AT24" s="358"/>
      <c r="AU24" s="358"/>
      <c r="AV24" s="358"/>
      <c r="AW24" s="358"/>
    </row>
    <row r="25" spans="1:49" s="109" customFormat="1" ht="19.5" hidden="1" customHeight="1">
      <c r="A25" s="136"/>
      <c r="B25" s="142"/>
      <c r="C25" s="597" t="s">
        <v>120</v>
      </c>
      <c r="D25" s="598"/>
      <c r="E25" s="274">
        <f>DAY(EOMONTH(E24,0))</f>
        <v>30</v>
      </c>
      <c r="F25" s="274">
        <f t="shared" ref="F25:H25" si="2">DAY(EOMONTH(F24,0))</f>
        <v>31</v>
      </c>
      <c r="G25" s="274">
        <f t="shared" si="2"/>
        <v>30</v>
      </c>
      <c r="H25" s="274">
        <f t="shared" si="2"/>
        <v>31</v>
      </c>
      <c r="I25" s="274">
        <f t="shared" ref="I25" si="3">DAY(EOMONTH(I24,0))</f>
        <v>31</v>
      </c>
      <c r="J25" s="274">
        <f t="shared" ref="J25:K25" si="4">DAY(EOMONTH(J24,0))</f>
        <v>30</v>
      </c>
      <c r="K25" s="274">
        <f t="shared" si="4"/>
        <v>31</v>
      </c>
      <c r="L25" s="274">
        <f t="shared" ref="L25" si="5">DAY(EOMONTH(L24,0))</f>
        <v>30</v>
      </c>
      <c r="M25" s="274">
        <f t="shared" ref="M25:N25" si="6">DAY(EOMONTH(M24,0))</f>
        <v>31</v>
      </c>
      <c r="N25" s="274">
        <f t="shared" si="6"/>
        <v>31</v>
      </c>
      <c r="O25" s="274">
        <f t="shared" ref="O25" si="7">DAY(EOMONTH(O24,0))</f>
        <v>28</v>
      </c>
      <c r="P25" s="274">
        <f t="shared" ref="P25:Q25" si="8">DAY(EOMONTH(P24,0))</f>
        <v>31</v>
      </c>
      <c r="Q25" s="274">
        <f t="shared" si="8"/>
        <v>30</v>
      </c>
      <c r="R25" s="274">
        <f t="shared" ref="R25" si="9">DAY(EOMONTH(R24,0))</f>
        <v>31</v>
      </c>
      <c r="S25" s="274">
        <f t="shared" ref="S25:T25" si="10">DAY(EOMONTH(S24,0))</f>
        <v>30</v>
      </c>
      <c r="T25" s="274">
        <f t="shared" si="10"/>
        <v>31</v>
      </c>
      <c r="U25" s="274">
        <f t="shared" ref="U25" si="11">DAY(EOMONTH(U24,0))</f>
        <v>31</v>
      </c>
      <c r="V25" s="274">
        <f t="shared" ref="V25:W25" si="12">DAY(EOMONTH(V24,0))</f>
        <v>30</v>
      </c>
      <c r="W25" s="274">
        <f t="shared" si="12"/>
        <v>31</v>
      </c>
      <c r="X25" s="274">
        <f t="shared" ref="X25" si="13">DAY(EOMONTH(X24,0))</f>
        <v>30</v>
      </c>
      <c r="Y25" s="274">
        <f t="shared" ref="Y25:Z25" si="14">DAY(EOMONTH(Y24,0))</f>
        <v>31</v>
      </c>
      <c r="Z25" s="274">
        <f t="shared" si="14"/>
        <v>31</v>
      </c>
      <c r="AA25" s="274">
        <f t="shared" ref="AA25" si="15">DAY(EOMONTH(AA24,0))</f>
        <v>28</v>
      </c>
      <c r="AB25" s="274">
        <f t="shared" ref="AB25:AC25" si="16">DAY(EOMONTH(AB24,0))</f>
        <v>31</v>
      </c>
      <c r="AC25" s="274">
        <f t="shared" si="16"/>
        <v>30</v>
      </c>
      <c r="AD25" s="274">
        <f t="shared" ref="AD25" si="17">DAY(EOMONTH(AD24,0))</f>
        <v>31</v>
      </c>
      <c r="AE25" s="274">
        <f t="shared" ref="AE25:AF25" si="18">DAY(EOMONTH(AE24,0))</f>
        <v>30</v>
      </c>
      <c r="AF25" s="274">
        <f t="shared" si="18"/>
        <v>31</v>
      </c>
      <c r="AG25" s="274">
        <f t="shared" ref="AG25" si="19">DAY(EOMONTH(AG24,0))</f>
        <v>31</v>
      </c>
      <c r="AH25" s="274">
        <f t="shared" ref="AH25:AI25" si="20">DAY(EOMONTH(AH24,0))</f>
        <v>30</v>
      </c>
      <c r="AI25" s="274">
        <f t="shared" si="20"/>
        <v>31</v>
      </c>
      <c r="AJ25" s="274">
        <f t="shared" ref="AJ25" si="21">DAY(EOMONTH(AJ24,0))</f>
        <v>30</v>
      </c>
      <c r="AK25" s="274">
        <f t="shared" ref="AK25:AL25" si="22">DAY(EOMONTH(AK24,0))</f>
        <v>31</v>
      </c>
      <c r="AL25" s="274">
        <f t="shared" si="22"/>
        <v>31</v>
      </c>
      <c r="AM25" s="274">
        <f t="shared" ref="AM25" si="23">DAY(EOMONTH(AM24,0))</f>
        <v>29</v>
      </c>
      <c r="AN25" s="274">
        <f t="shared" ref="AN25" si="24">DAY(EOMONTH(AN24,0))</f>
        <v>31</v>
      </c>
      <c r="AO25" s="141"/>
      <c r="AP25" s="136"/>
      <c r="AQ25" s="136"/>
      <c r="AR25" s="136"/>
      <c r="AS25" s="136"/>
      <c r="AT25" s="136"/>
      <c r="AU25" s="136"/>
      <c r="AV25" s="136"/>
      <c r="AW25" s="136"/>
    </row>
    <row r="26" spans="1:49" s="119" customFormat="1" ht="19.5" customHeight="1">
      <c r="A26" s="275"/>
      <c r="B26" s="276"/>
      <c r="C26" s="277" t="s">
        <v>150</v>
      </c>
      <c r="D26" s="513">
        <v>0.05</v>
      </c>
      <c r="E26" s="278">
        <f>1+D26</f>
        <v>1.05</v>
      </c>
      <c r="F26" s="278">
        <f>E26</f>
        <v>1.05</v>
      </c>
      <c r="G26" s="278">
        <f t="shared" ref="G26:AN26" si="25">F26</f>
        <v>1.05</v>
      </c>
      <c r="H26" s="278">
        <f t="shared" si="25"/>
        <v>1.05</v>
      </c>
      <c r="I26" s="278">
        <f t="shared" si="25"/>
        <v>1.05</v>
      </c>
      <c r="J26" s="278">
        <f t="shared" si="25"/>
        <v>1.05</v>
      </c>
      <c r="K26" s="278">
        <f t="shared" si="25"/>
        <v>1.05</v>
      </c>
      <c r="L26" s="278">
        <f t="shared" si="25"/>
        <v>1.05</v>
      </c>
      <c r="M26" s="278">
        <f t="shared" si="25"/>
        <v>1.05</v>
      </c>
      <c r="N26" s="278">
        <f t="shared" si="25"/>
        <v>1.05</v>
      </c>
      <c r="O26" s="278">
        <f t="shared" si="25"/>
        <v>1.05</v>
      </c>
      <c r="P26" s="278">
        <f t="shared" si="25"/>
        <v>1.05</v>
      </c>
      <c r="Q26" s="516">
        <f>1.02</f>
        <v>1.02</v>
      </c>
      <c r="R26" s="278">
        <f t="shared" si="25"/>
        <v>1.02</v>
      </c>
      <c r="S26" s="278">
        <f t="shared" si="25"/>
        <v>1.02</v>
      </c>
      <c r="T26" s="278">
        <f t="shared" si="25"/>
        <v>1.02</v>
      </c>
      <c r="U26" s="278">
        <f t="shared" si="25"/>
        <v>1.02</v>
      </c>
      <c r="V26" s="278">
        <f t="shared" si="25"/>
        <v>1.02</v>
      </c>
      <c r="W26" s="278">
        <f t="shared" si="25"/>
        <v>1.02</v>
      </c>
      <c r="X26" s="278">
        <f t="shared" si="25"/>
        <v>1.02</v>
      </c>
      <c r="Y26" s="278">
        <f t="shared" si="25"/>
        <v>1.02</v>
      </c>
      <c r="Z26" s="278">
        <f t="shared" si="25"/>
        <v>1.02</v>
      </c>
      <c r="AA26" s="278">
        <f t="shared" si="25"/>
        <v>1.02</v>
      </c>
      <c r="AB26" s="278">
        <f t="shared" si="25"/>
        <v>1.02</v>
      </c>
      <c r="AC26" s="516">
        <v>1.01</v>
      </c>
      <c r="AD26" s="278">
        <f t="shared" si="25"/>
        <v>1.01</v>
      </c>
      <c r="AE26" s="278">
        <f t="shared" si="25"/>
        <v>1.01</v>
      </c>
      <c r="AF26" s="278">
        <f t="shared" si="25"/>
        <v>1.01</v>
      </c>
      <c r="AG26" s="278">
        <f t="shared" si="25"/>
        <v>1.01</v>
      </c>
      <c r="AH26" s="278">
        <f t="shared" si="25"/>
        <v>1.01</v>
      </c>
      <c r="AI26" s="278">
        <f t="shared" si="25"/>
        <v>1.01</v>
      </c>
      <c r="AJ26" s="278">
        <f t="shared" si="25"/>
        <v>1.01</v>
      </c>
      <c r="AK26" s="278">
        <f t="shared" si="25"/>
        <v>1.01</v>
      </c>
      <c r="AL26" s="278">
        <f t="shared" si="25"/>
        <v>1.01</v>
      </c>
      <c r="AM26" s="278">
        <f t="shared" si="25"/>
        <v>1.01</v>
      </c>
      <c r="AN26" s="278">
        <f t="shared" si="25"/>
        <v>1.01</v>
      </c>
      <c r="AO26" s="279"/>
      <c r="AP26" s="275"/>
      <c r="AQ26" s="275"/>
      <c r="AR26" s="275"/>
      <c r="AS26" s="275"/>
      <c r="AT26" s="275"/>
      <c r="AU26" s="275"/>
      <c r="AV26" s="275"/>
      <c r="AW26" s="275"/>
    </row>
    <row r="27" spans="1:49" s="119" customFormat="1" ht="19.5" customHeight="1">
      <c r="A27" s="275"/>
      <c r="B27" s="276"/>
      <c r="C27" s="277" t="s">
        <v>202</v>
      </c>
      <c r="D27" s="456">
        <f>D48/30</f>
        <v>36819.34616566755</v>
      </c>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c r="AG27" s="454"/>
      <c r="AH27" s="454"/>
      <c r="AI27" s="454"/>
      <c r="AJ27" s="454"/>
      <c r="AK27" s="454"/>
      <c r="AL27" s="454"/>
      <c r="AM27" s="454"/>
      <c r="AN27" s="455"/>
      <c r="AO27" s="279"/>
      <c r="AP27" s="275"/>
      <c r="AQ27" s="275"/>
      <c r="AR27" s="275"/>
      <c r="AS27" s="275"/>
      <c r="AT27" s="275"/>
      <c r="AU27" s="275"/>
      <c r="AV27" s="275"/>
      <c r="AW27" s="275"/>
    </row>
    <row r="28" spans="1:49" s="119" customFormat="1" ht="19.5" customHeight="1">
      <c r="A28" s="275"/>
      <c r="B28" s="276"/>
      <c r="C28" s="277" t="str">
        <f>'Входящие данные'!C22</f>
        <v>Количество Маркетов здоровья</v>
      </c>
      <c r="D28" s="512">
        <f>'Входящие данные'!E22</f>
        <v>3</v>
      </c>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4"/>
      <c r="AK28" s="454"/>
      <c r="AL28" s="454"/>
      <c r="AM28" s="454"/>
      <c r="AN28" s="455"/>
      <c r="AO28" s="279"/>
      <c r="AP28" s="275"/>
      <c r="AQ28" s="275"/>
      <c r="AR28" s="275"/>
      <c r="AS28" s="275"/>
      <c r="AT28" s="275"/>
      <c r="AU28" s="275"/>
      <c r="AV28" s="275"/>
      <c r="AW28" s="275"/>
    </row>
    <row r="29" spans="1:49" ht="15" customHeight="1">
      <c r="B29" s="142"/>
      <c r="C29" s="430"/>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431"/>
      <c r="AO29" s="141"/>
    </row>
    <row r="30" spans="1:49" s="109" customFormat="1" ht="20.25">
      <c r="A30" s="136"/>
      <c r="B30" s="142"/>
      <c r="C30" s="427" t="str">
        <f>'Входящие данные'!E21</f>
        <v>СВОЯ СЕТЬ</v>
      </c>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431"/>
      <c r="AO30" s="141"/>
      <c r="AP30" s="136"/>
      <c r="AQ30" s="136"/>
      <c r="AR30" s="136"/>
      <c r="AS30" s="136"/>
      <c r="AT30" s="136"/>
      <c r="AU30" s="136"/>
      <c r="AV30" s="136"/>
      <c r="AW30" s="136"/>
    </row>
    <row r="31" spans="1:49" s="109" customFormat="1" ht="19.5" customHeight="1">
      <c r="A31" s="136"/>
      <c r="B31" s="142"/>
      <c r="C31" s="442" t="s">
        <v>194</v>
      </c>
      <c r="D31" s="280"/>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2"/>
      <c r="AO31" s="283"/>
      <c r="AP31" s="136"/>
      <c r="AQ31" s="136"/>
      <c r="AR31" s="136"/>
      <c r="AS31" s="136"/>
      <c r="AT31" s="136"/>
      <c r="AU31" s="136"/>
      <c r="AV31" s="136"/>
      <c r="AW31" s="136"/>
    </row>
    <row r="32" spans="1:49" s="82" customFormat="1" ht="19.5" customHeight="1">
      <c r="A32" s="284"/>
      <c r="B32" s="285"/>
      <c r="C32" s="286" t="s">
        <v>198</v>
      </c>
      <c r="D32" s="506">
        <v>16900</v>
      </c>
      <c r="E32" s="466"/>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c r="AN32" s="468"/>
      <c r="AO32" s="283"/>
      <c r="AP32" s="284"/>
      <c r="AQ32" s="284"/>
      <c r="AR32" s="284"/>
      <c r="AS32" s="284"/>
      <c r="AT32" s="284"/>
      <c r="AU32" s="284"/>
      <c r="AV32" s="284"/>
      <c r="AW32" s="284"/>
    </row>
    <row r="33" spans="1:49" s="82" customFormat="1" ht="19.5" customHeight="1">
      <c r="A33" s="284"/>
      <c r="B33" s="285"/>
      <c r="C33" s="286" t="s">
        <v>200</v>
      </c>
      <c r="D33" s="506">
        <f>'Инвестиции на орг-цию бизнеса'!$D$26-2</f>
        <v>8</v>
      </c>
      <c r="E33" s="511">
        <f>D33*E26*$D$28</f>
        <v>25.200000000000003</v>
      </c>
      <c r="F33" s="511">
        <f t="shared" ref="F33:AN33" si="26">E33*F26</f>
        <v>26.460000000000004</v>
      </c>
      <c r="G33" s="511">
        <f t="shared" si="26"/>
        <v>27.783000000000005</v>
      </c>
      <c r="H33" s="511">
        <f t="shared" si="26"/>
        <v>29.172150000000006</v>
      </c>
      <c r="I33" s="511">
        <f t="shared" si="26"/>
        <v>30.630757500000009</v>
      </c>
      <c r="J33" s="511">
        <f t="shared" si="26"/>
        <v>32.162295375000014</v>
      </c>
      <c r="K33" s="511">
        <f t="shared" si="26"/>
        <v>33.770410143750013</v>
      </c>
      <c r="L33" s="511">
        <f t="shared" si="26"/>
        <v>35.458930650937518</v>
      </c>
      <c r="M33" s="511">
        <f t="shared" si="26"/>
        <v>37.231877183484393</v>
      </c>
      <c r="N33" s="511">
        <f t="shared" si="26"/>
        <v>39.093471042658614</v>
      </c>
      <c r="O33" s="511">
        <f t="shared" si="26"/>
        <v>41.048144594791545</v>
      </c>
      <c r="P33" s="511">
        <f t="shared" si="26"/>
        <v>43.100551824531124</v>
      </c>
      <c r="Q33" s="511">
        <f t="shared" si="26"/>
        <v>43.962562861021745</v>
      </c>
      <c r="R33" s="511">
        <f t="shared" si="26"/>
        <v>44.841814118242183</v>
      </c>
      <c r="S33" s="511">
        <f t="shared" si="26"/>
        <v>45.738650400607028</v>
      </c>
      <c r="T33" s="511">
        <f t="shared" si="26"/>
        <v>46.653423408619169</v>
      </c>
      <c r="U33" s="511">
        <f t="shared" si="26"/>
        <v>47.586491876791555</v>
      </c>
      <c r="V33" s="511">
        <f t="shared" si="26"/>
        <v>48.538221714327385</v>
      </c>
      <c r="W33" s="511">
        <f t="shared" si="26"/>
        <v>49.508986148613936</v>
      </c>
      <c r="X33" s="511">
        <f t="shared" si="26"/>
        <v>50.499165871586214</v>
      </c>
      <c r="Y33" s="511">
        <f t="shared" si="26"/>
        <v>51.50914918901794</v>
      </c>
      <c r="Z33" s="511">
        <f t="shared" si="26"/>
        <v>52.539332172798296</v>
      </c>
      <c r="AA33" s="511">
        <f t="shared" si="26"/>
        <v>53.590118816254261</v>
      </c>
      <c r="AB33" s="511">
        <f t="shared" si="26"/>
        <v>54.661921192579349</v>
      </c>
      <c r="AC33" s="511">
        <f t="shared" si="26"/>
        <v>55.208540404505143</v>
      </c>
      <c r="AD33" s="511">
        <f t="shared" si="26"/>
        <v>55.760625808550195</v>
      </c>
      <c r="AE33" s="511">
        <f t="shared" si="26"/>
        <v>56.318232066635694</v>
      </c>
      <c r="AF33" s="511">
        <f t="shared" si="26"/>
        <v>56.881414387302051</v>
      </c>
      <c r="AG33" s="511">
        <f t="shared" si="26"/>
        <v>57.450228531175071</v>
      </c>
      <c r="AH33" s="511">
        <f t="shared" si="26"/>
        <v>58.024730816486823</v>
      </c>
      <c r="AI33" s="511">
        <f t="shared" si="26"/>
        <v>58.604978124651694</v>
      </c>
      <c r="AJ33" s="511">
        <f t="shared" si="26"/>
        <v>59.19102790589821</v>
      </c>
      <c r="AK33" s="511">
        <f t="shared" si="26"/>
        <v>59.782938184957196</v>
      </c>
      <c r="AL33" s="511">
        <f t="shared" si="26"/>
        <v>60.380767566806767</v>
      </c>
      <c r="AM33" s="511">
        <f t="shared" si="26"/>
        <v>60.984575242474833</v>
      </c>
      <c r="AN33" s="511">
        <f t="shared" si="26"/>
        <v>61.594420994899579</v>
      </c>
      <c r="AO33" s="508"/>
      <c r="AP33" s="284"/>
      <c r="AQ33" s="284"/>
      <c r="AR33" s="284"/>
      <c r="AS33" s="284"/>
      <c r="AT33" s="284"/>
      <c r="AU33" s="284"/>
      <c r="AV33" s="284"/>
      <c r="AW33" s="284"/>
    </row>
    <row r="34" spans="1:49" s="109" customFormat="1" ht="19.5" customHeight="1">
      <c r="A34" s="136"/>
      <c r="B34" s="142"/>
      <c r="C34" s="287" t="s">
        <v>121</v>
      </c>
      <c r="D34" s="509">
        <f>AVERAGE(E34:AN34)</f>
        <v>793794.83370631258</v>
      </c>
      <c r="E34" s="290">
        <f>E33*$D$32</f>
        <v>425880.00000000006</v>
      </c>
      <c r="F34" s="290">
        <f t="shared" ref="F34:AN34" si="27">F33*$D$32</f>
        <v>447174.00000000006</v>
      </c>
      <c r="G34" s="290">
        <f t="shared" si="27"/>
        <v>469532.70000000007</v>
      </c>
      <c r="H34" s="290">
        <f t="shared" si="27"/>
        <v>493009.33500000008</v>
      </c>
      <c r="I34" s="290">
        <f t="shared" si="27"/>
        <v>517659.80175000016</v>
      </c>
      <c r="J34" s="290">
        <f t="shared" si="27"/>
        <v>543542.79183750018</v>
      </c>
      <c r="K34" s="290">
        <f t="shared" si="27"/>
        <v>570719.9314293752</v>
      </c>
      <c r="L34" s="290">
        <f t="shared" si="27"/>
        <v>599255.92800084408</v>
      </c>
      <c r="M34" s="290">
        <f t="shared" si="27"/>
        <v>629218.72440088622</v>
      </c>
      <c r="N34" s="290">
        <f t="shared" si="27"/>
        <v>660679.6606209306</v>
      </c>
      <c r="O34" s="290">
        <f t="shared" si="27"/>
        <v>693713.64365197707</v>
      </c>
      <c r="P34" s="290">
        <f t="shared" si="27"/>
        <v>728399.32583457604</v>
      </c>
      <c r="Q34" s="290">
        <f t="shared" si="27"/>
        <v>742967.31235126744</v>
      </c>
      <c r="R34" s="290">
        <f t="shared" si="27"/>
        <v>757826.65859829285</v>
      </c>
      <c r="S34" s="290">
        <f t="shared" si="27"/>
        <v>772983.19177025883</v>
      </c>
      <c r="T34" s="290">
        <f t="shared" si="27"/>
        <v>788442.85560566396</v>
      </c>
      <c r="U34" s="290">
        <f t="shared" si="27"/>
        <v>804211.71271777723</v>
      </c>
      <c r="V34" s="290">
        <f t="shared" si="27"/>
        <v>820295.94697213278</v>
      </c>
      <c r="W34" s="290">
        <f t="shared" si="27"/>
        <v>836701.8659115755</v>
      </c>
      <c r="X34" s="290">
        <f t="shared" si="27"/>
        <v>853435.90322980704</v>
      </c>
      <c r="Y34" s="290">
        <f t="shared" si="27"/>
        <v>870504.62129440322</v>
      </c>
      <c r="Z34" s="290">
        <f t="shared" si="27"/>
        <v>887914.71372029115</v>
      </c>
      <c r="AA34" s="290">
        <f t="shared" si="27"/>
        <v>905673.00799469696</v>
      </c>
      <c r="AB34" s="290">
        <f t="shared" si="27"/>
        <v>923786.46815459104</v>
      </c>
      <c r="AC34" s="290">
        <f t="shared" si="27"/>
        <v>933024.33283613692</v>
      </c>
      <c r="AD34" s="290">
        <f t="shared" si="27"/>
        <v>942354.57616449834</v>
      </c>
      <c r="AE34" s="290">
        <f t="shared" si="27"/>
        <v>951778.12192614318</v>
      </c>
      <c r="AF34" s="290">
        <f t="shared" si="27"/>
        <v>961295.90314540465</v>
      </c>
      <c r="AG34" s="290">
        <f t="shared" si="27"/>
        <v>970908.8621768587</v>
      </c>
      <c r="AH34" s="290">
        <f t="shared" si="27"/>
        <v>980617.95079862734</v>
      </c>
      <c r="AI34" s="290">
        <f t="shared" si="27"/>
        <v>990424.13030661363</v>
      </c>
      <c r="AJ34" s="290">
        <f t="shared" si="27"/>
        <v>1000328.3716096798</v>
      </c>
      <c r="AK34" s="290">
        <f t="shared" si="27"/>
        <v>1010331.6553257767</v>
      </c>
      <c r="AL34" s="290">
        <f t="shared" si="27"/>
        <v>1020434.9718790344</v>
      </c>
      <c r="AM34" s="290">
        <f t="shared" si="27"/>
        <v>1030639.3215978247</v>
      </c>
      <c r="AN34" s="290">
        <f t="shared" si="27"/>
        <v>1040945.7148138029</v>
      </c>
      <c r="AO34" s="510"/>
      <c r="AP34" s="136"/>
      <c r="AQ34" s="136"/>
      <c r="AR34" s="136"/>
      <c r="AS34" s="136"/>
      <c r="AT34" s="136"/>
      <c r="AU34" s="136"/>
      <c r="AV34" s="136"/>
      <c r="AW34" s="136"/>
    </row>
    <row r="35" spans="1:49" s="109" customFormat="1" ht="19.5" customHeight="1">
      <c r="A35" s="136"/>
      <c r="B35" s="142"/>
      <c r="C35" s="287" t="s">
        <v>197</v>
      </c>
      <c r="D35" s="507">
        <v>1</v>
      </c>
      <c r="E35" s="290">
        <f>E34/(1+$D$35)</f>
        <v>212940.00000000003</v>
      </c>
      <c r="F35" s="290">
        <f t="shared" ref="F35:AN35" si="28">F34/(1+$D$35)</f>
        <v>223587.00000000003</v>
      </c>
      <c r="G35" s="290">
        <f t="shared" si="28"/>
        <v>234766.35000000003</v>
      </c>
      <c r="H35" s="290">
        <f t="shared" si="28"/>
        <v>246504.66750000004</v>
      </c>
      <c r="I35" s="290">
        <f t="shared" si="28"/>
        <v>258829.90087500008</v>
      </c>
      <c r="J35" s="290">
        <f t="shared" si="28"/>
        <v>271771.39591875009</v>
      </c>
      <c r="K35" s="290">
        <f t="shared" si="28"/>
        <v>285359.9657146876</v>
      </c>
      <c r="L35" s="290">
        <f t="shared" si="28"/>
        <v>299627.96400042204</v>
      </c>
      <c r="M35" s="290">
        <f t="shared" si="28"/>
        <v>314609.36220044311</v>
      </c>
      <c r="N35" s="290">
        <f t="shared" si="28"/>
        <v>330339.8303104653</v>
      </c>
      <c r="O35" s="290">
        <f t="shared" si="28"/>
        <v>346856.82182598853</v>
      </c>
      <c r="P35" s="290">
        <f t="shared" si="28"/>
        <v>364199.66291728802</v>
      </c>
      <c r="Q35" s="290">
        <f t="shared" si="28"/>
        <v>371483.65617563372</v>
      </c>
      <c r="R35" s="290">
        <f t="shared" si="28"/>
        <v>378913.32929914643</v>
      </c>
      <c r="S35" s="290">
        <f t="shared" si="28"/>
        <v>386491.59588512941</v>
      </c>
      <c r="T35" s="290">
        <f t="shared" si="28"/>
        <v>394221.42780283198</v>
      </c>
      <c r="U35" s="290">
        <f t="shared" si="28"/>
        <v>402105.85635888862</v>
      </c>
      <c r="V35" s="290">
        <f t="shared" si="28"/>
        <v>410147.97348606639</v>
      </c>
      <c r="W35" s="290">
        <f t="shared" si="28"/>
        <v>418350.93295578775</v>
      </c>
      <c r="X35" s="290">
        <f t="shared" si="28"/>
        <v>426717.95161490352</v>
      </c>
      <c r="Y35" s="290">
        <f t="shared" si="28"/>
        <v>435252.31064720161</v>
      </c>
      <c r="Z35" s="290">
        <f t="shared" si="28"/>
        <v>443957.35686014558</v>
      </c>
      <c r="AA35" s="290">
        <f t="shared" si="28"/>
        <v>452836.50399734848</v>
      </c>
      <c r="AB35" s="290">
        <f t="shared" si="28"/>
        <v>461893.23407729552</v>
      </c>
      <c r="AC35" s="290">
        <f t="shared" si="28"/>
        <v>466512.16641806846</v>
      </c>
      <c r="AD35" s="290">
        <f t="shared" si="28"/>
        <v>471177.28808224917</v>
      </c>
      <c r="AE35" s="290">
        <f t="shared" si="28"/>
        <v>475889.06096307159</v>
      </c>
      <c r="AF35" s="290">
        <f t="shared" si="28"/>
        <v>480647.95157270232</v>
      </c>
      <c r="AG35" s="290">
        <f t="shared" si="28"/>
        <v>485454.43108842935</v>
      </c>
      <c r="AH35" s="290">
        <f t="shared" si="28"/>
        <v>490308.97539931367</v>
      </c>
      <c r="AI35" s="290">
        <f t="shared" si="28"/>
        <v>495212.06515330682</v>
      </c>
      <c r="AJ35" s="290">
        <f t="shared" si="28"/>
        <v>500164.18580483989</v>
      </c>
      <c r="AK35" s="290">
        <f t="shared" si="28"/>
        <v>505165.82766288833</v>
      </c>
      <c r="AL35" s="290">
        <f t="shared" si="28"/>
        <v>510217.48593951721</v>
      </c>
      <c r="AM35" s="290">
        <f t="shared" si="28"/>
        <v>515319.66079891234</v>
      </c>
      <c r="AN35" s="290">
        <f t="shared" si="28"/>
        <v>520472.85740690143</v>
      </c>
      <c r="AO35" s="291"/>
      <c r="AP35" s="136"/>
      <c r="AQ35" s="136"/>
      <c r="AR35" s="136"/>
      <c r="AS35" s="136"/>
      <c r="AT35" s="136"/>
      <c r="AU35" s="136"/>
      <c r="AV35" s="136"/>
      <c r="AW35" s="136"/>
    </row>
    <row r="36" spans="1:49" s="109" customFormat="1" ht="19.5" customHeight="1">
      <c r="A36" s="136"/>
      <c r="B36" s="142"/>
      <c r="C36" s="442" t="s">
        <v>195</v>
      </c>
      <c r="D36" s="280"/>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2"/>
      <c r="AO36" s="283"/>
      <c r="AP36" s="136"/>
      <c r="AQ36" s="136"/>
      <c r="AR36" s="136"/>
      <c r="AS36" s="136"/>
      <c r="AT36" s="136"/>
      <c r="AU36" s="136"/>
      <c r="AV36" s="136"/>
      <c r="AW36" s="136"/>
    </row>
    <row r="37" spans="1:49" s="82" customFormat="1" ht="19.5" customHeight="1">
      <c r="A37" s="284"/>
      <c r="B37" s="285"/>
      <c r="C37" s="286" t="s">
        <v>198</v>
      </c>
      <c r="D37" s="506">
        <v>31800</v>
      </c>
      <c r="E37" s="466"/>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8"/>
      <c r="AO37" s="283"/>
      <c r="AP37" s="284"/>
      <c r="AQ37" s="284"/>
      <c r="AR37" s="284"/>
      <c r="AS37" s="284"/>
      <c r="AT37" s="284"/>
      <c r="AU37" s="284"/>
      <c r="AV37" s="284"/>
      <c r="AW37" s="284"/>
    </row>
    <row r="38" spans="1:49" s="82" customFormat="1" ht="19.5" customHeight="1">
      <c r="A38" s="284"/>
      <c r="B38" s="285"/>
      <c r="C38" s="286" t="s">
        <v>199</v>
      </c>
      <c r="D38" s="506">
        <f>'Инвестиции на орг-цию бизнеса'!$D$26-4</f>
        <v>6</v>
      </c>
      <c r="E38" s="511">
        <f>D38*E26*$D$28</f>
        <v>18.900000000000002</v>
      </c>
      <c r="F38" s="511">
        <f t="shared" ref="F38:AN38" si="29">E38*F26</f>
        <v>19.845000000000002</v>
      </c>
      <c r="G38" s="511">
        <f t="shared" si="29"/>
        <v>20.837250000000004</v>
      </c>
      <c r="H38" s="511">
        <f t="shared" si="29"/>
        <v>21.879112500000005</v>
      </c>
      <c r="I38" s="511">
        <f t="shared" si="29"/>
        <v>22.973068125000005</v>
      </c>
      <c r="J38" s="511">
        <f t="shared" si="29"/>
        <v>24.121721531250007</v>
      </c>
      <c r="K38" s="511">
        <f t="shared" si="29"/>
        <v>25.32780760781251</v>
      </c>
      <c r="L38" s="511">
        <f t="shared" si="29"/>
        <v>26.594197988203135</v>
      </c>
      <c r="M38" s="511">
        <f t="shared" si="29"/>
        <v>27.923907887613293</v>
      </c>
      <c r="N38" s="511">
        <f t="shared" si="29"/>
        <v>29.320103281993958</v>
      </c>
      <c r="O38" s="511">
        <f t="shared" si="29"/>
        <v>30.786108446093657</v>
      </c>
      <c r="P38" s="511">
        <f t="shared" si="29"/>
        <v>32.325413868398343</v>
      </c>
      <c r="Q38" s="511">
        <f t="shared" si="29"/>
        <v>32.971922145766307</v>
      </c>
      <c r="R38" s="511">
        <f t="shared" si="29"/>
        <v>33.63136058868163</v>
      </c>
      <c r="S38" s="511">
        <f t="shared" si="29"/>
        <v>34.303987800455261</v>
      </c>
      <c r="T38" s="511">
        <f t="shared" si="29"/>
        <v>34.990067556464368</v>
      </c>
      <c r="U38" s="511">
        <f t="shared" si="29"/>
        <v>35.689868907593656</v>
      </c>
      <c r="V38" s="511">
        <f t="shared" si="29"/>
        <v>36.40366628574553</v>
      </c>
      <c r="W38" s="511">
        <f t="shared" si="29"/>
        <v>37.131739611460439</v>
      </c>
      <c r="X38" s="511">
        <f t="shared" si="29"/>
        <v>37.87437440368965</v>
      </c>
      <c r="Y38" s="511">
        <f t="shared" si="29"/>
        <v>38.631861891763442</v>
      </c>
      <c r="Z38" s="511">
        <f t="shared" si="29"/>
        <v>39.404499129598712</v>
      </c>
      <c r="AA38" s="511">
        <f t="shared" si="29"/>
        <v>40.192589112190689</v>
      </c>
      <c r="AB38" s="511">
        <f t="shared" si="29"/>
        <v>40.996440894434507</v>
      </c>
      <c r="AC38" s="511">
        <f t="shared" si="29"/>
        <v>41.406405303378854</v>
      </c>
      <c r="AD38" s="511">
        <f t="shared" si="29"/>
        <v>41.820469356412644</v>
      </c>
      <c r="AE38" s="511">
        <f t="shared" si="29"/>
        <v>42.238674049976773</v>
      </c>
      <c r="AF38" s="511">
        <f t="shared" si="29"/>
        <v>42.66106079047654</v>
      </c>
      <c r="AG38" s="511">
        <f t="shared" si="29"/>
        <v>43.087671398381303</v>
      </c>
      <c r="AH38" s="511">
        <f t="shared" si="29"/>
        <v>43.518548112365117</v>
      </c>
      <c r="AI38" s="511">
        <f t="shared" si="29"/>
        <v>43.953733593488771</v>
      </c>
      <c r="AJ38" s="511">
        <f t="shared" si="29"/>
        <v>44.393270929423657</v>
      </c>
      <c r="AK38" s="511">
        <f t="shared" si="29"/>
        <v>44.837203638717895</v>
      </c>
      <c r="AL38" s="511">
        <f t="shared" si="29"/>
        <v>45.285575675105072</v>
      </c>
      <c r="AM38" s="511">
        <f t="shared" si="29"/>
        <v>45.738431431856121</v>
      </c>
      <c r="AN38" s="511">
        <f t="shared" si="29"/>
        <v>46.195815746174681</v>
      </c>
      <c r="AO38" s="508"/>
      <c r="AP38" s="284"/>
      <c r="AQ38" s="284"/>
      <c r="AR38" s="284"/>
      <c r="AS38" s="284"/>
      <c r="AT38" s="284"/>
      <c r="AU38" s="284"/>
      <c r="AV38" s="284"/>
      <c r="AW38" s="284"/>
    </row>
    <row r="39" spans="1:49" s="109" customFormat="1" ht="19.5" customHeight="1">
      <c r="A39" s="136"/>
      <c r="B39" s="142"/>
      <c r="C39" s="287" t="s">
        <v>121</v>
      </c>
      <c r="D39" s="451">
        <f>AVERAGE(E39:AN39)</f>
        <v>1120237.08780447</v>
      </c>
      <c r="E39" s="290">
        <f>E38*$D$37</f>
        <v>601020.00000000012</v>
      </c>
      <c r="F39" s="290">
        <f t="shared" ref="F39:AN39" si="30">F38*$D$37</f>
        <v>631071.00000000012</v>
      </c>
      <c r="G39" s="290">
        <f t="shared" si="30"/>
        <v>662624.55000000016</v>
      </c>
      <c r="H39" s="290">
        <f t="shared" si="30"/>
        <v>695755.7775000002</v>
      </c>
      <c r="I39" s="290">
        <f t="shared" si="30"/>
        <v>730543.56637500017</v>
      </c>
      <c r="J39" s="290">
        <f t="shared" si="30"/>
        <v>767070.74469375017</v>
      </c>
      <c r="K39" s="290">
        <f t="shared" si="30"/>
        <v>805424.28192843776</v>
      </c>
      <c r="L39" s="290">
        <f t="shared" si="30"/>
        <v>845695.49602485972</v>
      </c>
      <c r="M39" s="290">
        <f t="shared" si="30"/>
        <v>887980.2708261027</v>
      </c>
      <c r="N39" s="290">
        <f t="shared" si="30"/>
        <v>932379.2843674079</v>
      </c>
      <c r="O39" s="290">
        <f t="shared" si="30"/>
        <v>978998.24858577829</v>
      </c>
      <c r="P39" s="290">
        <f t="shared" si="30"/>
        <v>1027948.1610150672</v>
      </c>
      <c r="Q39" s="290">
        <f t="shared" si="30"/>
        <v>1048507.1242353686</v>
      </c>
      <c r="R39" s="290">
        <f t="shared" si="30"/>
        <v>1069477.2667200759</v>
      </c>
      <c r="S39" s="290">
        <f t="shared" si="30"/>
        <v>1090866.8120544774</v>
      </c>
      <c r="T39" s="290">
        <f t="shared" si="30"/>
        <v>1112684.1482955669</v>
      </c>
      <c r="U39" s="290">
        <f t="shared" si="30"/>
        <v>1134937.8312614784</v>
      </c>
      <c r="V39" s="290">
        <f t="shared" si="30"/>
        <v>1157636.5878867079</v>
      </c>
      <c r="W39" s="290">
        <f t="shared" si="30"/>
        <v>1180789.3196444421</v>
      </c>
      <c r="X39" s="290">
        <f t="shared" si="30"/>
        <v>1204405.1060373308</v>
      </c>
      <c r="Y39" s="290">
        <f t="shared" si="30"/>
        <v>1228493.2081580774</v>
      </c>
      <c r="Z39" s="290">
        <f t="shared" si="30"/>
        <v>1253063.0723212389</v>
      </c>
      <c r="AA39" s="290">
        <f t="shared" si="30"/>
        <v>1278124.3337676639</v>
      </c>
      <c r="AB39" s="290">
        <f t="shared" si="30"/>
        <v>1303686.8204430174</v>
      </c>
      <c r="AC39" s="290">
        <f t="shared" si="30"/>
        <v>1316723.6886474476</v>
      </c>
      <c r="AD39" s="290">
        <f t="shared" si="30"/>
        <v>1329890.9255339222</v>
      </c>
      <c r="AE39" s="290">
        <f t="shared" si="30"/>
        <v>1343189.8347892615</v>
      </c>
      <c r="AF39" s="290">
        <f t="shared" si="30"/>
        <v>1356621.733137154</v>
      </c>
      <c r="AG39" s="290">
        <f t="shared" si="30"/>
        <v>1370187.9504685255</v>
      </c>
      <c r="AH39" s="290">
        <f t="shared" si="30"/>
        <v>1383889.8299732108</v>
      </c>
      <c r="AI39" s="290">
        <f t="shared" si="30"/>
        <v>1397728.7282729428</v>
      </c>
      <c r="AJ39" s="290">
        <f t="shared" si="30"/>
        <v>1411706.0155556723</v>
      </c>
      <c r="AK39" s="290">
        <f t="shared" si="30"/>
        <v>1425823.0757112291</v>
      </c>
      <c r="AL39" s="290">
        <f t="shared" si="30"/>
        <v>1440081.3064683413</v>
      </c>
      <c r="AM39" s="290">
        <f t="shared" si="30"/>
        <v>1454482.1195330247</v>
      </c>
      <c r="AN39" s="290">
        <f t="shared" si="30"/>
        <v>1469026.9407283547</v>
      </c>
      <c r="AO39" s="289"/>
      <c r="AP39" s="136"/>
      <c r="AQ39" s="136"/>
      <c r="AR39" s="136"/>
      <c r="AS39" s="136"/>
      <c r="AT39" s="136"/>
      <c r="AU39" s="136"/>
      <c r="AV39" s="136"/>
      <c r="AW39" s="136"/>
    </row>
    <row r="40" spans="1:49" s="109" customFormat="1" ht="19.5" customHeight="1">
      <c r="A40" s="136"/>
      <c r="B40" s="142"/>
      <c r="C40" s="287" t="s">
        <v>197</v>
      </c>
      <c r="D40" s="507">
        <v>1</v>
      </c>
      <c r="E40" s="290">
        <f>E39/(1+$D$40)</f>
        <v>300510.00000000006</v>
      </c>
      <c r="F40" s="290">
        <f t="shared" ref="F40:AN40" si="31">F39/(1+$D$40)</f>
        <v>315535.50000000006</v>
      </c>
      <c r="G40" s="290">
        <f t="shared" si="31"/>
        <v>331312.27500000008</v>
      </c>
      <c r="H40" s="290">
        <f t="shared" si="31"/>
        <v>347877.8887500001</v>
      </c>
      <c r="I40" s="290">
        <f t="shared" si="31"/>
        <v>365271.78318750008</v>
      </c>
      <c r="J40" s="290">
        <f t="shared" si="31"/>
        <v>383535.37234687508</v>
      </c>
      <c r="K40" s="290">
        <f t="shared" si="31"/>
        <v>402712.14096421888</v>
      </c>
      <c r="L40" s="290">
        <f t="shared" si="31"/>
        <v>422847.74801242986</v>
      </c>
      <c r="M40" s="290">
        <f t="shared" si="31"/>
        <v>443990.13541305135</v>
      </c>
      <c r="N40" s="290">
        <f t="shared" si="31"/>
        <v>466189.64218370395</v>
      </c>
      <c r="O40" s="290">
        <f t="shared" si="31"/>
        <v>489499.12429288914</v>
      </c>
      <c r="P40" s="290">
        <f t="shared" si="31"/>
        <v>513974.08050753362</v>
      </c>
      <c r="Q40" s="290">
        <f t="shared" si="31"/>
        <v>524253.56211768428</v>
      </c>
      <c r="R40" s="290">
        <f t="shared" si="31"/>
        <v>534738.63336003793</v>
      </c>
      <c r="S40" s="290">
        <f t="shared" si="31"/>
        <v>545433.4060272387</v>
      </c>
      <c r="T40" s="290">
        <f t="shared" si="31"/>
        <v>556342.07414778345</v>
      </c>
      <c r="U40" s="290">
        <f t="shared" si="31"/>
        <v>567468.91563073918</v>
      </c>
      <c r="V40" s="290">
        <f t="shared" si="31"/>
        <v>578818.29394335393</v>
      </c>
      <c r="W40" s="290">
        <f t="shared" si="31"/>
        <v>590394.65982222103</v>
      </c>
      <c r="X40" s="290">
        <f t="shared" si="31"/>
        <v>602202.55301866541</v>
      </c>
      <c r="Y40" s="290">
        <f t="shared" si="31"/>
        <v>614246.60407903872</v>
      </c>
      <c r="Z40" s="290">
        <f t="shared" si="31"/>
        <v>626531.53616061946</v>
      </c>
      <c r="AA40" s="290">
        <f t="shared" si="31"/>
        <v>639062.16688383196</v>
      </c>
      <c r="AB40" s="290">
        <f t="shared" si="31"/>
        <v>651843.4102215087</v>
      </c>
      <c r="AC40" s="290">
        <f t="shared" si="31"/>
        <v>658361.84432372381</v>
      </c>
      <c r="AD40" s="290">
        <f t="shared" si="31"/>
        <v>664945.46276696108</v>
      </c>
      <c r="AE40" s="290">
        <f t="shared" si="31"/>
        <v>671594.91739463073</v>
      </c>
      <c r="AF40" s="290">
        <f t="shared" si="31"/>
        <v>678310.86656857701</v>
      </c>
      <c r="AG40" s="290">
        <f t="shared" si="31"/>
        <v>685093.97523426276</v>
      </c>
      <c r="AH40" s="290">
        <f t="shared" si="31"/>
        <v>691944.91498660541</v>
      </c>
      <c r="AI40" s="290">
        <f t="shared" si="31"/>
        <v>698864.36413647141</v>
      </c>
      <c r="AJ40" s="290">
        <f t="shared" si="31"/>
        <v>705853.00777783617</v>
      </c>
      <c r="AK40" s="290">
        <f t="shared" si="31"/>
        <v>712911.53785561456</v>
      </c>
      <c r="AL40" s="290">
        <f t="shared" si="31"/>
        <v>720040.65323417063</v>
      </c>
      <c r="AM40" s="290">
        <f t="shared" si="31"/>
        <v>727241.05976651236</v>
      </c>
      <c r="AN40" s="290">
        <f t="shared" si="31"/>
        <v>734513.47036417737</v>
      </c>
      <c r="AO40" s="291"/>
      <c r="AP40" s="136"/>
      <c r="AQ40" s="136"/>
      <c r="AR40" s="136"/>
      <c r="AS40" s="136"/>
      <c r="AT40" s="136"/>
      <c r="AU40" s="136"/>
      <c r="AV40" s="136"/>
      <c r="AW40" s="136"/>
    </row>
    <row r="41" spans="1:49" s="109" customFormat="1" ht="19.5" customHeight="1">
      <c r="A41" s="136"/>
      <c r="B41" s="142"/>
      <c r="C41" s="442" t="s">
        <v>196</v>
      </c>
      <c r="D41" s="452"/>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8"/>
      <c r="AG41" s="428"/>
      <c r="AH41" s="428"/>
      <c r="AI41" s="428"/>
      <c r="AJ41" s="428"/>
      <c r="AK41" s="428"/>
      <c r="AL41" s="428"/>
      <c r="AM41" s="428"/>
      <c r="AN41" s="429"/>
      <c r="AO41" s="291"/>
      <c r="AP41" s="136"/>
      <c r="AQ41" s="136"/>
      <c r="AR41" s="136"/>
      <c r="AS41" s="136"/>
      <c r="AT41" s="136"/>
      <c r="AU41" s="136"/>
      <c r="AV41" s="136"/>
      <c r="AW41" s="136"/>
    </row>
    <row r="42" spans="1:49" s="82" customFormat="1" ht="19.5" customHeight="1">
      <c r="A42" s="284"/>
      <c r="B42" s="285"/>
      <c r="C42" s="286" t="s">
        <v>198</v>
      </c>
      <c r="D42" s="506">
        <v>29800</v>
      </c>
      <c r="E42" s="466"/>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8"/>
      <c r="AO42" s="283"/>
      <c r="AP42" s="284"/>
      <c r="AQ42" s="284"/>
      <c r="AR42" s="284"/>
      <c r="AS42" s="284"/>
      <c r="AT42" s="284"/>
      <c r="AU42" s="284"/>
      <c r="AV42" s="284"/>
      <c r="AW42" s="284"/>
    </row>
    <row r="43" spans="1:49" s="82" customFormat="1" ht="19.5" customHeight="1">
      <c r="A43" s="284"/>
      <c r="B43" s="285"/>
      <c r="C43" s="286" t="s">
        <v>199</v>
      </c>
      <c r="D43" s="506">
        <f>'Инвестиции на орг-цию бизнеса'!$D$26-2</f>
        <v>8</v>
      </c>
      <c r="E43" s="511">
        <f>D43*E26*$D$28</f>
        <v>25.200000000000003</v>
      </c>
      <c r="F43" s="511">
        <f t="shared" ref="F43:AN43" si="32">E43*F26</f>
        <v>26.460000000000004</v>
      </c>
      <c r="G43" s="511">
        <f t="shared" si="32"/>
        <v>27.783000000000005</v>
      </c>
      <c r="H43" s="511">
        <f t="shared" si="32"/>
        <v>29.172150000000006</v>
      </c>
      <c r="I43" s="511">
        <f t="shared" si="32"/>
        <v>30.630757500000009</v>
      </c>
      <c r="J43" s="511">
        <f t="shared" si="32"/>
        <v>32.162295375000014</v>
      </c>
      <c r="K43" s="511">
        <f t="shared" si="32"/>
        <v>33.770410143750013</v>
      </c>
      <c r="L43" s="511">
        <f t="shared" si="32"/>
        <v>35.458930650937518</v>
      </c>
      <c r="M43" s="511">
        <f t="shared" si="32"/>
        <v>37.231877183484393</v>
      </c>
      <c r="N43" s="511">
        <f t="shared" si="32"/>
        <v>39.093471042658614</v>
      </c>
      <c r="O43" s="511">
        <f t="shared" si="32"/>
        <v>41.048144594791545</v>
      </c>
      <c r="P43" s="511">
        <f t="shared" si="32"/>
        <v>43.100551824531124</v>
      </c>
      <c r="Q43" s="511">
        <f t="shared" si="32"/>
        <v>43.962562861021745</v>
      </c>
      <c r="R43" s="511">
        <f t="shared" si="32"/>
        <v>44.841814118242183</v>
      </c>
      <c r="S43" s="511">
        <f t="shared" si="32"/>
        <v>45.738650400607028</v>
      </c>
      <c r="T43" s="511">
        <f t="shared" si="32"/>
        <v>46.653423408619169</v>
      </c>
      <c r="U43" s="511">
        <f t="shared" si="32"/>
        <v>47.586491876791555</v>
      </c>
      <c r="V43" s="511">
        <f t="shared" si="32"/>
        <v>48.538221714327385</v>
      </c>
      <c r="W43" s="511">
        <f t="shared" si="32"/>
        <v>49.508986148613936</v>
      </c>
      <c r="X43" s="511">
        <f t="shared" si="32"/>
        <v>50.499165871586214</v>
      </c>
      <c r="Y43" s="511">
        <f t="shared" si="32"/>
        <v>51.50914918901794</v>
      </c>
      <c r="Z43" s="511">
        <f t="shared" si="32"/>
        <v>52.539332172798296</v>
      </c>
      <c r="AA43" s="511">
        <f t="shared" si="32"/>
        <v>53.590118816254261</v>
      </c>
      <c r="AB43" s="511">
        <f t="shared" si="32"/>
        <v>54.661921192579349</v>
      </c>
      <c r="AC43" s="511">
        <f t="shared" si="32"/>
        <v>55.208540404505143</v>
      </c>
      <c r="AD43" s="511">
        <f t="shared" si="32"/>
        <v>55.760625808550195</v>
      </c>
      <c r="AE43" s="511">
        <f t="shared" si="32"/>
        <v>56.318232066635694</v>
      </c>
      <c r="AF43" s="511">
        <f t="shared" si="32"/>
        <v>56.881414387302051</v>
      </c>
      <c r="AG43" s="511">
        <f t="shared" si="32"/>
        <v>57.450228531175071</v>
      </c>
      <c r="AH43" s="511">
        <f t="shared" si="32"/>
        <v>58.024730816486823</v>
      </c>
      <c r="AI43" s="511">
        <f t="shared" si="32"/>
        <v>58.604978124651694</v>
      </c>
      <c r="AJ43" s="511">
        <f t="shared" si="32"/>
        <v>59.19102790589821</v>
      </c>
      <c r="AK43" s="511">
        <f t="shared" si="32"/>
        <v>59.782938184957196</v>
      </c>
      <c r="AL43" s="511">
        <f t="shared" si="32"/>
        <v>60.380767566806767</v>
      </c>
      <c r="AM43" s="511">
        <f t="shared" si="32"/>
        <v>60.984575242474833</v>
      </c>
      <c r="AN43" s="511">
        <f t="shared" si="32"/>
        <v>61.594420994899579</v>
      </c>
      <c r="AO43" s="508"/>
      <c r="AP43" s="284"/>
      <c r="AQ43" s="284"/>
      <c r="AR43" s="284"/>
      <c r="AS43" s="284"/>
      <c r="AT43" s="284"/>
      <c r="AU43" s="284"/>
      <c r="AV43" s="284"/>
      <c r="AW43" s="284"/>
    </row>
    <row r="44" spans="1:49" s="109" customFormat="1" ht="19.5" customHeight="1">
      <c r="A44" s="136"/>
      <c r="B44" s="142"/>
      <c r="C44" s="287" t="s">
        <v>121</v>
      </c>
      <c r="D44" s="451">
        <f>AVERAGE(E44:AN44)</f>
        <v>1399709.2333992966</v>
      </c>
      <c r="E44" s="290">
        <f>E43*$D$42</f>
        <v>750960.00000000012</v>
      </c>
      <c r="F44" s="290">
        <f t="shared" ref="F44:AN44" si="33">F43*$D$42</f>
        <v>788508.00000000012</v>
      </c>
      <c r="G44" s="290">
        <f t="shared" si="33"/>
        <v>827933.40000000014</v>
      </c>
      <c r="H44" s="290">
        <f t="shared" si="33"/>
        <v>869330.07000000018</v>
      </c>
      <c r="I44" s="290">
        <f t="shared" si="33"/>
        <v>912796.57350000029</v>
      </c>
      <c r="J44" s="290">
        <f t="shared" si="33"/>
        <v>958436.4021750004</v>
      </c>
      <c r="K44" s="290">
        <f t="shared" si="33"/>
        <v>1006358.2222837504</v>
      </c>
      <c r="L44" s="290">
        <f t="shared" si="33"/>
        <v>1056676.133397938</v>
      </c>
      <c r="M44" s="290">
        <f t="shared" si="33"/>
        <v>1109509.9400678349</v>
      </c>
      <c r="N44" s="290">
        <f t="shared" si="33"/>
        <v>1164985.4370712268</v>
      </c>
      <c r="O44" s="290">
        <f t="shared" si="33"/>
        <v>1223234.7089247881</v>
      </c>
      <c r="P44" s="290">
        <f t="shared" si="33"/>
        <v>1284396.4443710274</v>
      </c>
      <c r="Q44" s="290">
        <f t="shared" si="33"/>
        <v>1310084.373258448</v>
      </c>
      <c r="R44" s="290">
        <f t="shared" si="33"/>
        <v>1336286.060723617</v>
      </c>
      <c r="S44" s="290">
        <f t="shared" si="33"/>
        <v>1363011.7819380895</v>
      </c>
      <c r="T44" s="290">
        <f t="shared" si="33"/>
        <v>1390272.0175768512</v>
      </c>
      <c r="U44" s="290">
        <f t="shared" si="33"/>
        <v>1418077.4579283884</v>
      </c>
      <c r="V44" s="290">
        <f t="shared" si="33"/>
        <v>1446439.0070869562</v>
      </c>
      <c r="W44" s="290">
        <f t="shared" si="33"/>
        <v>1475367.7872286953</v>
      </c>
      <c r="X44" s="290">
        <f t="shared" si="33"/>
        <v>1504875.1429732691</v>
      </c>
      <c r="Y44" s="290">
        <f t="shared" si="33"/>
        <v>1534972.6458327346</v>
      </c>
      <c r="Z44" s="290">
        <f t="shared" si="33"/>
        <v>1565672.0987493892</v>
      </c>
      <c r="AA44" s="290">
        <f t="shared" si="33"/>
        <v>1596985.5407243769</v>
      </c>
      <c r="AB44" s="290">
        <f t="shared" si="33"/>
        <v>1628925.2515388646</v>
      </c>
      <c r="AC44" s="290">
        <f t="shared" si="33"/>
        <v>1645214.5040542532</v>
      </c>
      <c r="AD44" s="290">
        <f t="shared" si="33"/>
        <v>1661666.6490947958</v>
      </c>
      <c r="AE44" s="290">
        <f t="shared" si="33"/>
        <v>1678283.3155857436</v>
      </c>
      <c r="AF44" s="290">
        <f t="shared" si="33"/>
        <v>1695066.148741601</v>
      </c>
      <c r="AG44" s="290">
        <f t="shared" si="33"/>
        <v>1712016.8102290172</v>
      </c>
      <c r="AH44" s="290">
        <f t="shared" si="33"/>
        <v>1729136.9783313074</v>
      </c>
      <c r="AI44" s="290">
        <f t="shared" si="33"/>
        <v>1746428.3481146204</v>
      </c>
      <c r="AJ44" s="290">
        <f t="shared" si="33"/>
        <v>1763892.6315957666</v>
      </c>
      <c r="AK44" s="290">
        <f t="shared" si="33"/>
        <v>1781531.5579117246</v>
      </c>
      <c r="AL44" s="290">
        <f t="shared" si="33"/>
        <v>1799346.8734908416</v>
      </c>
      <c r="AM44" s="290">
        <f t="shared" si="33"/>
        <v>1817340.34222575</v>
      </c>
      <c r="AN44" s="290">
        <f t="shared" si="33"/>
        <v>1835513.7456480074</v>
      </c>
      <c r="AO44" s="289"/>
      <c r="AP44" s="136"/>
      <c r="AQ44" s="136"/>
      <c r="AR44" s="136"/>
      <c r="AS44" s="136"/>
      <c r="AT44" s="136"/>
      <c r="AU44" s="136"/>
      <c r="AV44" s="136"/>
      <c r="AW44" s="136"/>
    </row>
    <row r="45" spans="1:49" s="109" customFormat="1" ht="19.5" customHeight="1">
      <c r="A45" s="136"/>
      <c r="B45" s="142"/>
      <c r="C45" s="287" t="s">
        <v>197</v>
      </c>
      <c r="D45" s="507">
        <v>1</v>
      </c>
      <c r="E45" s="290">
        <f>E44/(1+$D$45)</f>
        <v>375480.00000000006</v>
      </c>
      <c r="F45" s="290">
        <f t="shared" ref="F45:AN45" si="34">F44/(1+$D$45)</f>
        <v>394254.00000000006</v>
      </c>
      <c r="G45" s="290">
        <f t="shared" si="34"/>
        <v>413966.70000000007</v>
      </c>
      <c r="H45" s="290">
        <f t="shared" si="34"/>
        <v>434665.03500000009</v>
      </c>
      <c r="I45" s="290">
        <f t="shared" si="34"/>
        <v>456398.28675000014</v>
      </c>
      <c r="J45" s="290">
        <f t="shared" si="34"/>
        <v>479218.2010875002</v>
      </c>
      <c r="K45" s="290">
        <f t="shared" si="34"/>
        <v>503179.11114187521</v>
      </c>
      <c r="L45" s="290">
        <f t="shared" si="34"/>
        <v>528338.06669896899</v>
      </c>
      <c r="M45" s="290">
        <f t="shared" si="34"/>
        <v>554754.97003391746</v>
      </c>
      <c r="N45" s="290">
        <f t="shared" si="34"/>
        <v>582492.71853561339</v>
      </c>
      <c r="O45" s="290">
        <f t="shared" si="34"/>
        <v>611617.35446239403</v>
      </c>
      <c r="P45" s="290">
        <f t="shared" si="34"/>
        <v>642198.2221855137</v>
      </c>
      <c r="Q45" s="290">
        <f t="shared" si="34"/>
        <v>655042.18662922399</v>
      </c>
      <c r="R45" s="290">
        <f t="shared" si="34"/>
        <v>668143.03036180849</v>
      </c>
      <c r="S45" s="290">
        <f t="shared" si="34"/>
        <v>681505.89096904476</v>
      </c>
      <c r="T45" s="290">
        <f t="shared" si="34"/>
        <v>695136.00878842559</v>
      </c>
      <c r="U45" s="290">
        <f t="shared" si="34"/>
        <v>709038.72896419419</v>
      </c>
      <c r="V45" s="290">
        <f t="shared" si="34"/>
        <v>723219.50354347809</v>
      </c>
      <c r="W45" s="290">
        <f t="shared" si="34"/>
        <v>737683.89361434767</v>
      </c>
      <c r="X45" s="290">
        <f t="shared" si="34"/>
        <v>752437.57148663455</v>
      </c>
      <c r="Y45" s="290">
        <f t="shared" si="34"/>
        <v>767486.32291636732</v>
      </c>
      <c r="Z45" s="290">
        <f t="shared" si="34"/>
        <v>782836.04937469459</v>
      </c>
      <c r="AA45" s="290">
        <f t="shared" si="34"/>
        <v>798492.77036218846</v>
      </c>
      <c r="AB45" s="290">
        <f t="shared" si="34"/>
        <v>814462.62576943228</v>
      </c>
      <c r="AC45" s="290">
        <f t="shared" si="34"/>
        <v>822607.25202712661</v>
      </c>
      <c r="AD45" s="290">
        <f t="shared" si="34"/>
        <v>830833.3245473979</v>
      </c>
      <c r="AE45" s="290">
        <f t="shared" si="34"/>
        <v>839141.65779287182</v>
      </c>
      <c r="AF45" s="290">
        <f t="shared" si="34"/>
        <v>847533.07437080052</v>
      </c>
      <c r="AG45" s="290">
        <f t="shared" si="34"/>
        <v>856008.40511450858</v>
      </c>
      <c r="AH45" s="290">
        <f t="shared" si="34"/>
        <v>864568.48916565371</v>
      </c>
      <c r="AI45" s="290">
        <f t="shared" si="34"/>
        <v>873214.17405731021</v>
      </c>
      <c r="AJ45" s="290">
        <f t="shared" si="34"/>
        <v>881946.31579788332</v>
      </c>
      <c r="AK45" s="290">
        <f t="shared" si="34"/>
        <v>890765.77895586228</v>
      </c>
      <c r="AL45" s="290">
        <f t="shared" si="34"/>
        <v>899673.4367454208</v>
      </c>
      <c r="AM45" s="290">
        <f t="shared" si="34"/>
        <v>908670.17111287499</v>
      </c>
      <c r="AN45" s="290">
        <f t="shared" si="34"/>
        <v>917756.87282400369</v>
      </c>
      <c r="AO45" s="289"/>
      <c r="AP45" s="136"/>
      <c r="AQ45" s="136"/>
      <c r="AR45" s="136"/>
      <c r="AS45" s="136"/>
      <c r="AT45" s="136"/>
      <c r="AU45" s="136"/>
      <c r="AV45" s="136"/>
      <c r="AW45" s="136"/>
    </row>
    <row r="46" spans="1:49" s="118" customFormat="1" ht="19.5" customHeight="1">
      <c r="A46" s="292"/>
      <c r="B46" s="293"/>
      <c r="C46" s="294" t="s">
        <v>112</v>
      </c>
      <c r="D46" s="295">
        <f>AVERAGE(E46:AN46)</f>
        <v>1656870.5774550396</v>
      </c>
      <c r="E46" s="288">
        <f>E34+E39+E44-E35-E40-E45</f>
        <v>888930.00000000047</v>
      </c>
      <c r="F46" s="288">
        <f t="shared" ref="F46:AN46" si="35">F34+F39+F44-F35-F40-F45</f>
        <v>933376.50000000047</v>
      </c>
      <c r="G46" s="288">
        <f t="shared" si="35"/>
        <v>980045.32500000007</v>
      </c>
      <c r="H46" s="288">
        <f t="shared" si="35"/>
        <v>1029047.5912500003</v>
      </c>
      <c r="I46" s="288">
        <f t="shared" si="35"/>
        <v>1080499.9708125002</v>
      </c>
      <c r="J46" s="288">
        <f t="shared" si="35"/>
        <v>1134524.9693531254</v>
      </c>
      <c r="K46" s="288">
        <f t="shared" si="35"/>
        <v>1191251.217820782</v>
      </c>
      <c r="L46" s="288">
        <f t="shared" si="35"/>
        <v>1250813.778711821</v>
      </c>
      <c r="M46" s="288">
        <f t="shared" si="35"/>
        <v>1313354.4676474119</v>
      </c>
      <c r="N46" s="288">
        <f t="shared" si="35"/>
        <v>1379022.1910297829</v>
      </c>
      <c r="O46" s="288">
        <f t="shared" si="35"/>
        <v>1447973.3005812718</v>
      </c>
      <c r="P46" s="288">
        <f t="shared" si="35"/>
        <v>1520371.9656103353</v>
      </c>
      <c r="Q46" s="288">
        <f t="shared" si="35"/>
        <v>1550779.4049225422</v>
      </c>
      <c r="R46" s="288">
        <f t="shared" si="35"/>
        <v>1581794.9930209927</v>
      </c>
      <c r="S46" s="288">
        <f t="shared" si="35"/>
        <v>1613430.8928814128</v>
      </c>
      <c r="T46" s="288">
        <f t="shared" si="35"/>
        <v>1645699.5107390415</v>
      </c>
      <c r="U46" s="288">
        <f t="shared" si="35"/>
        <v>1678613.5009538219</v>
      </c>
      <c r="V46" s="288">
        <f t="shared" si="35"/>
        <v>1712185.7709728982</v>
      </c>
      <c r="W46" s="288">
        <f t="shared" si="35"/>
        <v>1746429.4863923569</v>
      </c>
      <c r="X46" s="288">
        <f t="shared" si="35"/>
        <v>1781358.0761202034</v>
      </c>
      <c r="Y46" s="288">
        <f t="shared" si="35"/>
        <v>1816985.2376426074</v>
      </c>
      <c r="Z46" s="288">
        <f t="shared" si="35"/>
        <v>1853324.9423954594</v>
      </c>
      <c r="AA46" s="288">
        <f t="shared" si="35"/>
        <v>1890391.4412433696</v>
      </c>
      <c r="AB46" s="288">
        <f t="shared" si="35"/>
        <v>1928199.2700682371</v>
      </c>
      <c r="AC46" s="288">
        <f t="shared" si="35"/>
        <v>1947481.2627689182</v>
      </c>
      <c r="AD46" s="288">
        <f t="shared" si="35"/>
        <v>1966956.0753966081</v>
      </c>
      <c r="AE46" s="288">
        <f t="shared" si="35"/>
        <v>1986625.6361505743</v>
      </c>
      <c r="AF46" s="288">
        <f t="shared" si="35"/>
        <v>2006491.8925120798</v>
      </c>
      <c r="AG46" s="288">
        <f t="shared" si="35"/>
        <v>2026556.8114372008</v>
      </c>
      <c r="AH46" s="288">
        <f t="shared" si="35"/>
        <v>2046822.379551573</v>
      </c>
      <c r="AI46" s="288">
        <f t="shared" si="35"/>
        <v>2067290.6033470884</v>
      </c>
      <c r="AJ46" s="288">
        <f t="shared" si="35"/>
        <v>2087963.5093805597</v>
      </c>
      <c r="AK46" s="288">
        <f t="shared" si="35"/>
        <v>2108843.1444743653</v>
      </c>
      <c r="AL46" s="288">
        <f t="shared" si="35"/>
        <v>2129931.5759191085</v>
      </c>
      <c r="AM46" s="288">
        <f t="shared" si="35"/>
        <v>2151230.8916782998</v>
      </c>
      <c r="AN46" s="288">
        <f t="shared" si="35"/>
        <v>2172743.2005950827</v>
      </c>
      <c r="AO46" s="291"/>
      <c r="AP46" s="292"/>
      <c r="AQ46" s="292"/>
      <c r="AR46" s="292"/>
      <c r="AS46" s="292"/>
      <c r="AT46" s="292"/>
      <c r="AU46" s="292"/>
      <c r="AV46" s="292"/>
      <c r="AW46" s="292"/>
    </row>
    <row r="47" spans="1:49" s="118" customFormat="1" ht="19.5" customHeight="1">
      <c r="A47" s="292"/>
      <c r="B47" s="293"/>
      <c r="C47" s="294" t="s">
        <v>119</v>
      </c>
      <c r="D47" s="297">
        <f>AVERAGE(E47:AN47)</f>
        <v>3313741.1549100792</v>
      </c>
      <c r="E47" s="288">
        <f>E44+E39+E34</f>
        <v>1777860.0000000002</v>
      </c>
      <c r="F47" s="288">
        <f t="shared" ref="F47:AN47" si="36">F44+F39+F34</f>
        <v>1866753.0000000002</v>
      </c>
      <c r="G47" s="288">
        <f t="shared" si="36"/>
        <v>1960090.6500000004</v>
      </c>
      <c r="H47" s="288">
        <f t="shared" si="36"/>
        <v>2058095.1825000006</v>
      </c>
      <c r="I47" s="288">
        <f t="shared" si="36"/>
        <v>2160999.9416250004</v>
      </c>
      <c r="J47" s="288">
        <f t="shared" si="36"/>
        <v>2269049.9387062509</v>
      </c>
      <c r="K47" s="288">
        <f t="shared" si="36"/>
        <v>2382502.4356415635</v>
      </c>
      <c r="L47" s="288">
        <f t="shared" si="36"/>
        <v>2501627.5574236419</v>
      </c>
      <c r="M47" s="288">
        <f t="shared" si="36"/>
        <v>2626708.9352948237</v>
      </c>
      <c r="N47" s="288">
        <f t="shared" si="36"/>
        <v>2758044.3820595653</v>
      </c>
      <c r="O47" s="288">
        <f t="shared" si="36"/>
        <v>2895946.6011625435</v>
      </c>
      <c r="P47" s="288">
        <f t="shared" si="36"/>
        <v>3040743.9312206707</v>
      </c>
      <c r="Q47" s="288">
        <f t="shared" si="36"/>
        <v>3101558.8098450839</v>
      </c>
      <c r="R47" s="288">
        <f t="shared" si="36"/>
        <v>3163589.9860419855</v>
      </c>
      <c r="S47" s="288">
        <f t="shared" si="36"/>
        <v>3226861.7857628255</v>
      </c>
      <c r="T47" s="288">
        <f t="shared" si="36"/>
        <v>3291399.0214780821</v>
      </c>
      <c r="U47" s="288">
        <f t="shared" si="36"/>
        <v>3357227.0019076439</v>
      </c>
      <c r="V47" s="288">
        <f t="shared" si="36"/>
        <v>3424371.5419457965</v>
      </c>
      <c r="W47" s="288">
        <f t="shared" si="36"/>
        <v>3492858.9727847129</v>
      </c>
      <c r="X47" s="288">
        <f t="shared" si="36"/>
        <v>3562716.1522404072</v>
      </c>
      <c r="Y47" s="288">
        <f t="shared" si="36"/>
        <v>3633970.4752852153</v>
      </c>
      <c r="Z47" s="288">
        <f t="shared" si="36"/>
        <v>3706649.8847909188</v>
      </c>
      <c r="AA47" s="288">
        <f t="shared" si="36"/>
        <v>3780782.8824867378</v>
      </c>
      <c r="AB47" s="288">
        <f t="shared" si="36"/>
        <v>3856398.5401364728</v>
      </c>
      <c r="AC47" s="288">
        <f t="shared" si="36"/>
        <v>3894962.5255378382</v>
      </c>
      <c r="AD47" s="288">
        <f t="shared" si="36"/>
        <v>3933912.1507932167</v>
      </c>
      <c r="AE47" s="288">
        <f t="shared" si="36"/>
        <v>3973251.2723011482</v>
      </c>
      <c r="AF47" s="288">
        <f t="shared" si="36"/>
        <v>4012983.7850241596</v>
      </c>
      <c r="AG47" s="288">
        <f t="shared" si="36"/>
        <v>4053113.6228744015</v>
      </c>
      <c r="AH47" s="288">
        <f t="shared" si="36"/>
        <v>4093644.7591031459</v>
      </c>
      <c r="AI47" s="288">
        <f t="shared" si="36"/>
        <v>4134581.2066941769</v>
      </c>
      <c r="AJ47" s="288">
        <f t="shared" si="36"/>
        <v>4175927.0187611189</v>
      </c>
      <c r="AK47" s="288">
        <f t="shared" si="36"/>
        <v>4217686.2889487306</v>
      </c>
      <c r="AL47" s="288">
        <f t="shared" si="36"/>
        <v>4259863.1518382169</v>
      </c>
      <c r="AM47" s="288">
        <f t="shared" si="36"/>
        <v>4302461.7833565995</v>
      </c>
      <c r="AN47" s="288">
        <f t="shared" si="36"/>
        <v>4345486.4011901654</v>
      </c>
      <c r="AO47" s="296"/>
      <c r="AP47" s="292"/>
      <c r="AQ47" s="292"/>
      <c r="AR47" s="292"/>
      <c r="AS47" s="292"/>
      <c r="AT47" s="292"/>
      <c r="AU47" s="292"/>
      <c r="AV47" s="292"/>
      <c r="AW47" s="292"/>
    </row>
    <row r="48" spans="1:49" s="118" customFormat="1" ht="19.5" customHeight="1">
      <c r="A48" s="292"/>
      <c r="B48" s="293"/>
      <c r="C48" s="294" t="s">
        <v>201</v>
      </c>
      <c r="D48" s="297">
        <f>AVERAGE(E48:AN48)</f>
        <v>1104580.3849700266</v>
      </c>
      <c r="E48" s="288">
        <f>E47/$D$28</f>
        <v>592620.00000000012</v>
      </c>
      <c r="F48" s="288">
        <f t="shared" ref="F48:AN48" si="37">F47/$D$28</f>
        <v>622251.00000000012</v>
      </c>
      <c r="G48" s="288">
        <f t="shared" si="37"/>
        <v>653363.55000000016</v>
      </c>
      <c r="H48" s="288">
        <f t="shared" si="37"/>
        <v>686031.72750000015</v>
      </c>
      <c r="I48" s="288">
        <f t="shared" si="37"/>
        <v>720333.31387500011</v>
      </c>
      <c r="J48" s="288">
        <f t="shared" si="37"/>
        <v>756349.97956875025</v>
      </c>
      <c r="K48" s="288">
        <f t="shared" si="37"/>
        <v>794167.47854718787</v>
      </c>
      <c r="L48" s="288">
        <f t="shared" si="37"/>
        <v>833875.85247454734</v>
      </c>
      <c r="M48" s="288">
        <f t="shared" si="37"/>
        <v>875569.64509827457</v>
      </c>
      <c r="N48" s="288">
        <f t="shared" si="37"/>
        <v>919348.12735318847</v>
      </c>
      <c r="O48" s="288">
        <f t="shared" si="37"/>
        <v>965315.5337208478</v>
      </c>
      <c r="P48" s="288">
        <f t="shared" si="37"/>
        <v>1013581.3104068902</v>
      </c>
      <c r="Q48" s="288">
        <f t="shared" si="37"/>
        <v>1033852.936615028</v>
      </c>
      <c r="R48" s="288">
        <f t="shared" si="37"/>
        <v>1054529.9953473285</v>
      </c>
      <c r="S48" s="288">
        <f t="shared" si="37"/>
        <v>1075620.5952542752</v>
      </c>
      <c r="T48" s="288">
        <f t="shared" si="37"/>
        <v>1097133.0071593607</v>
      </c>
      <c r="U48" s="288">
        <f t="shared" si="37"/>
        <v>1119075.667302548</v>
      </c>
      <c r="V48" s="288">
        <f t="shared" si="37"/>
        <v>1141457.1806485988</v>
      </c>
      <c r="W48" s="288">
        <f t="shared" si="37"/>
        <v>1164286.324261571</v>
      </c>
      <c r="X48" s="288">
        <f t="shared" si="37"/>
        <v>1187572.0507468025</v>
      </c>
      <c r="Y48" s="288">
        <f t="shared" si="37"/>
        <v>1211323.4917617384</v>
      </c>
      <c r="Z48" s="288">
        <f t="shared" si="37"/>
        <v>1235549.961596973</v>
      </c>
      <c r="AA48" s="288">
        <f t="shared" si="37"/>
        <v>1260260.9608289127</v>
      </c>
      <c r="AB48" s="288">
        <f t="shared" si="37"/>
        <v>1285466.1800454909</v>
      </c>
      <c r="AC48" s="288">
        <f t="shared" si="37"/>
        <v>1298320.8418459462</v>
      </c>
      <c r="AD48" s="288">
        <f t="shared" si="37"/>
        <v>1311304.0502644056</v>
      </c>
      <c r="AE48" s="288">
        <f t="shared" si="37"/>
        <v>1324417.0907670495</v>
      </c>
      <c r="AF48" s="288">
        <f t="shared" si="37"/>
        <v>1337661.2616747199</v>
      </c>
      <c r="AG48" s="288">
        <f t="shared" si="37"/>
        <v>1351037.8742914672</v>
      </c>
      <c r="AH48" s="288">
        <f t="shared" si="37"/>
        <v>1364548.2530343819</v>
      </c>
      <c r="AI48" s="288">
        <f t="shared" si="37"/>
        <v>1378193.7355647257</v>
      </c>
      <c r="AJ48" s="288">
        <f t="shared" si="37"/>
        <v>1391975.672920373</v>
      </c>
      <c r="AK48" s="288">
        <f t="shared" si="37"/>
        <v>1405895.4296495768</v>
      </c>
      <c r="AL48" s="288">
        <f t="shared" si="37"/>
        <v>1419954.3839460723</v>
      </c>
      <c r="AM48" s="288">
        <f t="shared" si="37"/>
        <v>1434153.9277855332</v>
      </c>
      <c r="AN48" s="288">
        <f t="shared" si="37"/>
        <v>1448495.4670633886</v>
      </c>
      <c r="AO48" s="296"/>
      <c r="AP48" s="292"/>
      <c r="AQ48" s="292"/>
      <c r="AR48" s="292"/>
      <c r="AS48" s="292"/>
      <c r="AT48" s="292"/>
      <c r="AU48" s="292"/>
      <c r="AV48" s="292"/>
      <c r="AW48" s="292"/>
    </row>
    <row r="49" spans="1:49" s="118" customFormat="1" ht="19.5" hidden="1" customHeight="1">
      <c r="A49" s="292"/>
      <c r="B49" s="293"/>
      <c r="C49" s="277" t="s">
        <v>108</v>
      </c>
      <c r="D49" s="295">
        <f>AVERAGE(E49:AN49)</f>
        <v>108935.63114041134</v>
      </c>
      <c r="E49" s="290">
        <f>E47/E25</f>
        <v>59262.000000000007</v>
      </c>
      <c r="F49" s="290">
        <f t="shared" ref="F49:AN49" si="38">F47/F25</f>
        <v>60217.838709677424</v>
      </c>
      <c r="G49" s="290">
        <f t="shared" si="38"/>
        <v>65336.35500000001</v>
      </c>
      <c r="H49" s="290">
        <f t="shared" si="38"/>
        <v>66390.167177419367</v>
      </c>
      <c r="I49" s="290">
        <f t="shared" si="38"/>
        <v>69709.675536290335</v>
      </c>
      <c r="J49" s="290">
        <f t="shared" si="38"/>
        <v>75634.997956875028</v>
      </c>
      <c r="K49" s="290">
        <f t="shared" si="38"/>
        <v>76854.917278760113</v>
      </c>
      <c r="L49" s="290">
        <f t="shared" si="38"/>
        <v>83387.585247454728</v>
      </c>
      <c r="M49" s="290">
        <f t="shared" si="38"/>
        <v>84732.546299833019</v>
      </c>
      <c r="N49" s="290">
        <f t="shared" si="38"/>
        <v>88969.173614824686</v>
      </c>
      <c r="O49" s="290">
        <f t="shared" si="38"/>
        <v>103426.6643272337</v>
      </c>
      <c r="P49" s="290">
        <f t="shared" si="38"/>
        <v>98088.51391034422</v>
      </c>
      <c r="Q49" s="290">
        <f t="shared" si="38"/>
        <v>103385.2936615028</v>
      </c>
      <c r="R49" s="290">
        <f t="shared" si="38"/>
        <v>102051.28987232212</v>
      </c>
      <c r="S49" s="290">
        <f t="shared" si="38"/>
        <v>107562.05952542751</v>
      </c>
      <c r="T49" s="290">
        <f t="shared" si="38"/>
        <v>106174.16198316394</v>
      </c>
      <c r="U49" s="290">
        <f t="shared" si="38"/>
        <v>108297.64522282722</v>
      </c>
      <c r="V49" s="290">
        <f t="shared" si="38"/>
        <v>114145.71806485989</v>
      </c>
      <c r="W49" s="290">
        <f t="shared" si="38"/>
        <v>112672.87008982945</v>
      </c>
      <c r="X49" s="290">
        <f t="shared" si="38"/>
        <v>118757.20507468024</v>
      </c>
      <c r="Y49" s="290">
        <f t="shared" si="38"/>
        <v>117224.85404145856</v>
      </c>
      <c r="Z49" s="290">
        <f t="shared" si="38"/>
        <v>119569.3511222877</v>
      </c>
      <c r="AA49" s="290">
        <f t="shared" si="38"/>
        <v>135027.96008881208</v>
      </c>
      <c r="AB49" s="290">
        <f t="shared" si="38"/>
        <v>124399.95290762816</v>
      </c>
      <c r="AC49" s="290">
        <f t="shared" si="38"/>
        <v>129832.08418459461</v>
      </c>
      <c r="AD49" s="290">
        <f t="shared" si="38"/>
        <v>126900.39196107151</v>
      </c>
      <c r="AE49" s="290">
        <f t="shared" si="38"/>
        <v>132441.70907670495</v>
      </c>
      <c r="AF49" s="290">
        <f t="shared" si="38"/>
        <v>129451.08983948902</v>
      </c>
      <c r="AG49" s="290">
        <f t="shared" si="38"/>
        <v>130745.60073788391</v>
      </c>
      <c r="AH49" s="290">
        <f t="shared" si="38"/>
        <v>136454.82530343821</v>
      </c>
      <c r="AI49" s="290">
        <f t="shared" si="38"/>
        <v>133373.58731271539</v>
      </c>
      <c r="AJ49" s="290">
        <f t="shared" si="38"/>
        <v>139197.5672920373</v>
      </c>
      <c r="AK49" s="290">
        <f t="shared" si="38"/>
        <v>136054.39641770098</v>
      </c>
      <c r="AL49" s="290">
        <f t="shared" si="38"/>
        <v>137414.94038187797</v>
      </c>
      <c r="AM49" s="290">
        <f t="shared" si="38"/>
        <v>148360.75115022756</v>
      </c>
      <c r="AN49" s="290">
        <f t="shared" si="38"/>
        <v>140176.98068355373</v>
      </c>
      <c r="AO49" s="296"/>
      <c r="AP49" s="292"/>
      <c r="AQ49" s="292"/>
      <c r="AR49" s="292"/>
      <c r="AS49" s="292"/>
      <c r="AT49" s="292"/>
      <c r="AU49" s="292"/>
      <c r="AV49" s="292"/>
      <c r="AW49" s="292"/>
    </row>
    <row r="50" spans="1:49" s="109" customFormat="1" ht="19.5" hidden="1" customHeight="1">
      <c r="A50" s="136"/>
      <c r="B50" s="142"/>
      <c r="C50" s="277" t="s">
        <v>116</v>
      </c>
      <c r="D50" s="297">
        <f>SUM(E50:AN50)</f>
        <v>59647340.788381428</v>
      </c>
      <c r="E50" s="409">
        <f>E35+E40+E45</f>
        <v>888930.00000000023</v>
      </c>
      <c r="F50" s="409">
        <f t="shared" ref="F50:AN50" si="39">F35+F40+F45</f>
        <v>933376.50000000023</v>
      </c>
      <c r="G50" s="409">
        <f t="shared" si="39"/>
        <v>980045.32500000019</v>
      </c>
      <c r="H50" s="409">
        <f t="shared" si="39"/>
        <v>1029047.5912500003</v>
      </c>
      <c r="I50" s="409">
        <f t="shared" si="39"/>
        <v>1080499.9708125002</v>
      </c>
      <c r="J50" s="409">
        <f t="shared" si="39"/>
        <v>1134524.9693531254</v>
      </c>
      <c r="K50" s="409">
        <f t="shared" si="39"/>
        <v>1191251.2178207817</v>
      </c>
      <c r="L50" s="409">
        <f t="shared" si="39"/>
        <v>1250813.778711821</v>
      </c>
      <c r="M50" s="409">
        <f t="shared" si="39"/>
        <v>1313354.4676474119</v>
      </c>
      <c r="N50" s="409">
        <f t="shared" si="39"/>
        <v>1379022.1910297826</v>
      </c>
      <c r="O50" s="409">
        <f t="shared" si="39"/>
        <v>1447973.3005812718</v>
      </c>
      <c r="P50" s="409">
        <f t="shared" si="39"/>
        <v>1520371.9656103353</v>
      </c>
      <c r="Q50" s="409">
        <f t="shared" si="39"/>
        <v>1550779.4049225422</v>
      </c>
      <c r="R50" s="409">
        <f t="shared" si="39"/>
        <v>1581794.9930209927</v>
      </c>
      <c r="S50" s="409">
        <f t="shared" si="39"/>
        <v>1613430.892881413</v>
      </c>
      <c r="T50" s="409">
        <f t="shared" si="39"/>
        <v>1645699.510739041</v>
      </c>
      <c r="U50" s="409">
        <f t="shared" si="39"/>
        <v>1678613.5009538219</v>
      </c>
      <c r="V50" s="409">
        <f t="shared" si="39"/>
        <v>1712185.7709728982</v>
      </c>
      <c r="W50" s="409">
        <f t="shared" si="39"/>
        <v>1746429.4863923565</v>
      </c>
      <c r="X50" s="409">
        <f t="shared" si="39"/>
        <v>1781358.0761202034</v>
      </c>
      <c r="Y50" s="409">
        <f t="shared" si="39"/>
        <v>1816985.2376426077</v>
      </c>
      <c r="Z50" s="409">
        <f t="shared" si="39"/>
        <v>1853324.9423954594</v>
      </c>
      <c r="AA50" s="409">
        <f t="shared" si="39"/>
        <v>1890391.4412433691</v>
      </c>
      <c r="AB50" s="409">
        <f t="shared" si="39"/>
        <v>1928199.2700682366</v>
      </c>
      <c r="AC50" s="409">
        <f t="shared" si="39"/>
        <v>1947481.2627689186</v>
      </c>
      <c r="AD50" s="409">
        <f t="shared" si="39"/>
        <v>1966956.0753966081</v>
      </c>
      <c r="AE50" s="409">
        <f t="shared" si="39"/>
        <v>1986625.6361505741</v>
      </c>
      <c r="AF50" s="409">
        <f t="shared" si="39"/>
        <v>2006491.8925120798</v>
      </c>
      <c r="AG50" s="409">
        <f t="shared" si="39"/>
        <v>2026556.8114372008</v>
      </c>
      <c r="AH50" s="409">
        <f t="shared" si="39"/>
        <v>2046822.3795515727</v>
      </c>
      <c r="AI50" s="409">
        <f t="shared" si="39"/>
        <v>2067290.6033470884</v>
      </c>
      <c r="AJ50" s="409">
        <f t="shared" si="39"/>
        <v>2087963.5093805594</v>
      </c>
      <c r="AK50" s="409">
        <f t="shared" si="39"/>
        <v>2108843.1444743653</v>
      </c>
      <c r="AL50" s="409">
        <f t="shared" si="39"/>
        <v>2129931.5759191085</v>
      </c>
      <c r="AM50" s="409">
        <f t="shared" si="39"/>
        <v>2151230.8916782998</v>
      </c>
      <c r="AN50" s="409">
        <f t="shared" si="39"/>
        <v>2172743.2005950827</v>
      </c>
      <c r="AO50" s="141"/>
      <c r="AP50" s="136"/>
      <c r="AQ50" s="136"/>
      <c r="AR50" s="136"/>
      <c r="AS50" s="136"/>
      <c r="AT50" s="136"/>
      <c r="AU50" s="136"/>
      <c r="AV50" s="136"/>
      <c r="AW50" s="136"/>
    </row>
    <row r="51" spans="1:49" ht="15" customHeight="1" thickBot="1">
      <c r="B51" s="160"/>
      <c r="C51" s="298"/>
      <c r="D51" s="299"/>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98"/>
      <c r="AG51" s="298"/>
      <c r="AH51" s="298"/>
      <c r="AI51" s="298"/>
      <c r="AJ51" s="298"/>
      <c r="AK51" s="298"/>
      <c r="AL51" s="298"/>
      <c r="AM51" s="298"/>
      <c r="AN51" s="298"/>
      <c r="AO51" s="162"/>
    </row>
    <row r="52" spans="1:49" ht="17.25" customHeight="1">
      <c r="B52" s="133"/>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133"/>
    </row>
    <row r="53" spans="1:49" ht="15" customHeight="1">
      <c r="B53" s="133"/>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133"/>
    </row>
    <row r="54" spans="1:49" ht="15" customHeight="1">
      <c r="B54" s="133"/>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133"/>
    </row>
    <row r="55" spans="1:49" ht="15" customHeight="1">
      <c r="B55" s="133"/>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133"/>
    </row>
    <row r="56" spans="1:49" ht="15" customHeight="1">
      <c r="B56" s="133"/>
      <c r="C56" s="133"/>
      <c r="D56" s="133"/>
      <c r="E56" s="133"/>
      <c r="F56" s="133"/>
      <c r="G56" s="133"/>
      <c r="H56" s="300"/>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row>
    <row r="57" spans="1:49" s="82" customFormat="1" ht="16.5">
      <c r="A57" s="284"/>
      <c r="B57" s="133"/>
      <c r="C57" s="133"/>
      <c r="D57" s="133"/>
      <c r="E57" s="133"/>
      <c r="F57" s="133"/>
      <c r="G57" s="133"/>
      <c r="H57" s="300"/>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222"/>
      <c r="AP57" s="284"/>
      <c r="AQ57" s="284"/>
      <c r="AR57" s="284"/>
      <c r="AS57" s="284"/>
      <c r="AT57" s="284"/>
      <c r="AU57" s="284"/>
      <c r="AV57" s="284"/>
      <c r="AW57" s="284"/>
    </row>
    <row r="58" spans="1:49" ht="15" customHeight="1">
      <c r="B58" s="133"/>
      <c r="C58" s="133"/>
      <c r="D58" s="133"/>
      <c r="E58" s="133"/>
      <c r="F58" s="133"/>
      <c r="G58" s="133"/>
      <c r="H58" s="300"/>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row>
    <row r="59" spans="1:49" ht="15" customHeight="1">
      <c r="H59" s="300"/>
    </row>
    <row r="60" spans="1:49" ht="15" customHeight="1">
      <c r="H60" s="301"/>
    </row>
  </sheetData>
  <dataConsolidate/>
  <mergeCells count="15">
    <mergeCell ref="E19:G19"/>
    <mergeCell ref="E16:G16"/>
    <mergeCell ref="D15:I15"/>
    <mergeCell ref="C25:D25"/>
    <mergeCell ref="B3:AO3"/>
    <mergeCell ref="I9:K9"/>
    <mergeCell ref="I8:J8"/>
    <mergeCell ref="E18:G18"/>
    <mergeCell ref="E17:G17"/>
    <mergeCell ref="C11:I11"/>
    <mergeCell ref="C12:I12"/>
    <mergeCell ref="C13:I13"/>
    <mergeCell ref="E21:G21"/>
    <mergeCell ref="E20:G20"/>
    <mergeCell ref="C24:D24"/>
  </mergeCells>
  <dataValidations count="1">
    <dataValidation allowBlank="1" showInputMessage="1" showErrorMessage="1" promptTitle="РЕКОМЕНДАЦИЯ" prompt="Количество продаж для 1-ой точки&#10;" sqref="D33 D38 D43"/>
  </dataValidations>
  <pageMargins left="0.70866141732283472" right="0.70866141732283472" top="0.74803149606299213" bottom="0.74803149606299213" header="0.31496062992125984" footer="0.31496062992125984"/>
  <pageSetup paperSize="9" scale="34" orientation="landscape" r:id="rId1"/>
  <drawing r:id="rId2"/>
</worksheet>
</file>

<file path=xl/worksheets/sheet8.xml><?xml version="1.0" encoding="utf-8"?>
<worksheet xmlns="http://schemas.openxmlformats.org/spreadsheetml/2006/main" xmlns:r="http://schemas.openxmlformats.org/officeDocument/2006/relationships">
  <sheetPr codeName="Лист8">
    <tabColor rgb="FF3AAA35"/>
    <pageSetUpPr fitToPage="1"/>
  </sheetPr>
  <dimension ref="A1:AQ56"/>
  <sheetViews>
    <sheetView showGridLines="0" zoomScale="75" zoomScaleNormal="75" workbookViewId="0"/>
  </sheetViews>
  <sheetFormatPr defaultColWidth="15.140625" defaultRowHeight="15" customHeight="1" outlineLevelRow="1"/>
  <cols>
    <col min="1" max="2" width="10.7109375" style="136" customWidth="1"/>
    <col min="3" max="3" width="71.140625" style="136" customWidth="1"/>
    <col min="4" max="4" width="17.140625" style="183" customWidth="1"/>
    <col min="5" max="40" width="17.140625" style="136" customWidth="1"/>
    <col min="41" max="41" width="10.7109375" style="136" customWidth="1"/>
    <col min="42" max="43" width="15.140625" style="136"/>
    <col min="44" max="16384" width="15.140625" style="1"/>
  </cols>
  <sheetData>
    <row r="1" spans="1:43" ht="15" customHeight="1" thickBot="1">
      <c r="A1" s="222"/>
      <c r="AO1" s="161"/>
    </row>
    <row r="2" spans="1:43" ht="35.25" customHeight="1">
      <c r="B2" s="137"/>
      <c r="C2" s="185"/>
      <c r="D2" s="186"/>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40"/>
    </row>
    <row r="3" spans="1:43" ht="35.25" customHeight="1">
      <c r="B3" s="517"/>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443"/>
    </row>
    <row r="4" spans="1:43" ht="27" customHeight="1">
      <c r="B4" s="142"/>
      <c r="C4" s="303"/>
      <c r="D4" s="304"/>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443"/>
    </row>
    <row r="5" spans="1:43" ht="27" customHeight="1">
      <c r="B5" s="142"/>
      <c r="C5" s="133"/>
      <c r="D5" s="146"/>
      <c r="E5" s="133"/>
      <c r="F5" s="133"/>
      <c r="G5" s="133"/>
      <c r="K5" s="246"/>
      <c r="L5" s="133"/>
      <c r="M5" s="133"/>
      <c r="N5" s="133"/>
      <c r="O5" s="133"/>
      <c r="P5" s="133"/>
      <c r="Q5" s="133"/>
      <c r="R5" s="133"/>
      <c r="S5" s="133"/>
      <c r="T5" s="133"/>
      <c r="U5" s="133"/>
      <c r="V5" s="133"/>
      <c r="W5" s="305"/>
      <c r="X5" s="133"/>
      <c r="Y5" s="133"/>
      <c r="Z5" s="133"/>
      <c r="AA5" s="133"/>
      <c r="AB5" s="133"/>
      <c r="AC5" s="133"/>
      <c r="AD5" s="133"/>
      <c r="AE5" s="133"/>
      <c r="AF5" s="133"/>
      <c r="AG5" s="133"/>
      <c r="AH5" s="133"/>
      <c r="AI5" s="133"/>
      <c r="AJ5" s="133"/>
      <c r="AK5" s="133"/>
      <c r="AL5" s="133"/>
      <c r="AM5" s="133"/>
      <c r="AN5" s="133"/>
      <c r="AO5" s="141"/>
    </row>
    <row r="6" spans="1:43" ht="27" customHeight="1">
      <c r="B6" s="142"/>
      <c r="C6" s="133"/>
      <c r="D6" s="146"/>
      <c r="E6" s="133"/>
      <c r="F6" s="133"/>
      <c r="G6" s="306"/>
      <c r="K6" s="246"/>
      <c r="L6" s="133"/>
      <c r="M6" s="223"/>
      <c r="N6" s="223"/>
      <c r="O6" s="223"/>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141"/>
    </row>
    <row r="7" spans="1:43" s="93" customFormat="1" ht="19.5" customHeight="1">
      <c r="A7" s="136"/>
      <c r="B7" s="142"/>
      <c r="C7" s="133"/>
      <c r="D7" s="308"/>
      <c r="E7" s="307"/>
      <c r="F7" s="307"/>
      <c r="G7" s="309" t="s">
        <v>109</v>
      </c>
      <c r="H7" s="309"/>
      <c r="I7" s="136"/>
      <c r="J7" s="133"/>
      <c r="K7" s="310"/>
      <c r="L7" s="133"/>
      <c r="M7" s="223"/>
      <c r="N7" s="223"/>
      <c r="O7" s="223"/>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141"/>
      <c r="AP7" s="136"/>
      <c r="AQ7" s="136"/>
    </row>
    <row r="8" spans="1:43" s="93" customFormat="1" ht="17.25" customHeight="1">
      <c r="A8" s="136"/>
      <c r="B8" s="142"/>
      <c r="C8" s="133"/>
      <c r="D8" s="308"/>
      <c r="E8" s="307"/>
      <c r="F8" s="307"/>
      <c r="G8" s="480"/>
      <c r="H8" s="542" t="s">
        <v>4</v>
      </c>
      <c r="I8" s="600"/>
      <c r="J8" s="148"/>
      <c r="K8" s="133"/>
      <c r="L8" s="133"/>
      <c r="M8" s="223"/>
      <c r="N8" s="223"/>
      <c r="O8" s="223"/>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141"/>
      <c r="AP8" s="136"/>
      <c r="AQ8" s="136"/>
    </row>
    <row r="9" spans="1:43" ht="17.25" customHeight="1">
      <c r="B9" s="142"/>
      <c r="C9" s="133"/>
      <c r="D9" s="146"/>
      <c r="E9" s="133"/>
      <c r="F9" s="133"/>
      <c r="G9" s="311"/>
      <c r="H9" s="542" t="s">
        <v>5</v>
      </c>
      <c r="I9" s="600"/>
      <c r="J9" s="148"/>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41"/>
    </row>
    <row r="10" spans="1:43" s="109" customFormat="1" ht="17.25" customHeight="1" thickBot="1">
      <c r="A10" s="136"/>
      <c r="B10" s="142"/>
      <c r="C10" s="133"/>
      <c r="D10" s="146"/>
      <c r="E10" s="133"/>
      <c r="F10" s="133"/>
      <c r="G10" s="306"/>
      <c r="H10" s="308"/>
      <c r="I10" s="444"/>
      <c r="J10" s="444"/>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41"/>
      <c r="AP10" s="136"/>
      <c r="AQ10" s="136"/>
    </row>
    <row r="11" spans="1:43" s="109" customFormat="1" ht="21.75" customHeight="1">
      <c r="A11" s="136"/>
      <c r="B11" s="142"/>
      <c r="C11" s="530" t="s">
        <v>137</v>
      </c>
      <c r="D11" s="530"/>
      <c r="E11" s="530"/>
      <c r="F11" s="530"/>
      <c r="G11" s="530"/>
      <c r="H11" s="530"/>
      <c r="I11" s="123"/>
      <c r="J11" s="12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41"/>
      <c r="AP11" s="136"/>
      <c r="AQ11" s="136"/>
    </row>
    <row r="12" spans="1:43" s="109" customFormat="1" ht="21.75" customHeight="1">
      <c r="A12" s="136"/>
      <c r="B12" s="142"/>
      <c r="C12" s="610"/>
      <c r="D12" s="610"/>
      <c r="E12" s="610"/>
      <c r="F12" s="610"/>
      <c r="G12" s="610"/>
      <c r="H12" s="610"/>
      <c r="I12" s="123"/>
      <c r="J12" s="12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41"/>
      <c r="AP12" s="136"/>
      <c r="AQ12" s="136"/>
    </row>
    <row r="13" spans="1:43" s="109" customFormat="1" ht="36.75" customHeight="1">
      <c r="A13" s="136"/>
      <c r="B13" s="142"/>
      <c r="C13" s="531" t="s">
        <v>206</v>
      </c>
      <c r="D13" s="531"/>
      <c r="E13" s="531"/>
      <c r="F13" s="531"/>
      <c r="G13" s="531"/>
      <c r="H13" s="531"/>
      <c r="I13" s="123"/>
      <c r="J13" s="12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41"/>
      <c r="AP13" s="136"/>
      <c r="AQ13" s="136"/>
    </row>
    <row r="14" spans="1:43" s="109" customFormat="1" ht="21.75" customHeight="1">
      <c r="A14" s="136"/>
      <c r="B14" s="142"/>
      <c r="C14" s="532" t="s">
        <v>138</v>
      </c>
      <c r="D14" s="532"/>
      <c r="E14" s="532"/>
      <c r="F14" s="532"/>
      <c r="G14" s="532"/>
      <c r="H14" s="532"/>
      <c r="I14" s="123"/>
      <c r="J14" s="12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41"/>
      <c r="AP14" s="136"/>
      <c r="AQ14" s="136"/>
    </row>
    <row r="15" spans="1:43" s="109" customFormat="1" ht="21.75" customHeight="1" thickBot="1">
      <c r="A15" s="136"/>
      <c r="B15" s="142"/>
      <c r="C15" s="533"/>
      <c r="D15" s="533"/>
      <c r="E15" s="533"/>
      <c r="F15" s="533"/>
      <c r="G15" s="533"/>
      <c r="H15" s="533"/>
      <c r="I15" s="123"/>
      <c r="J15" s="12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41"/>
      <c r="AP15" s="136"/>
      <c r="AQ15" s="136"/>
    </row>
    <row r="16" spans="1:43" s="93" customFormat="1" ht="21.75" customHeight="1">
      <c r="A16" s="136"/>
      <c r="B16" s="142"/>
      <c r="C16" s="198"/>
      <c r="D16" s="406"/>
      <c r="E16" s="407"/>
      <c r="F16" s="312"/>
      <c r="G16" s="312"/>
      <c r="H16" s="312"/>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141"/>
      <c r="AP16" s="136"/>
      <c r="AQ16" s="136"/>
    </row>
    <row r="17" spans="1:43" ht="22.5">
      <c r="B17" s="142"/>
      <c r="C17" s="313" t="s">
        <v>17</v>
      </c>
      <c r="D17" s="314"/>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6"/>
      <c r="AO17" s="317"/>
    </row>
    <row r="18" spans="1:43" s="119" customFormat="1" ht="17.25" customHeight="1">
      <c r="A18" s="275"/>
      <c r="B18" s="276"/>
      <c r="C18" s="318"/>
      <c r="D18" s="319" t="s">
        <v>50</v>
      </c>
      <c r="E18" s="320">
        <f>Продажи!E24</f>
        <v>42826</v>
      </c>
      <c r="F18" s="320">
        <f>Продажи!F24</f>
        <v>42857</v>
      </c>
      <c r="G18" s="320">
        <f>Продажи!G24</f>
        <v>42888</v>
      </c>
      <c r="H18" s="320">
        <f>Продажи!H24</f>
        <v>42919</v>
      </c>
      <c r="I18" s="320">
        <f>Продажи!I24</f>
        <v>42950</v>
      </c>
      <c r="J18" s="320">
        <f>Продажи!J24</f>
        <v>42981</v>
      </c>
      <c r="K18" s="320">
        <f>Продажи!K24</f>
        <v>43012</v>
      </c>
      <c r="L18" s="320">
        <f>Продажи!L24</f>
        <v>43043</v>
      </c>
      <c r="M18" s="320">
        <f>Продажи!M24</f>
        <v>43074</v>
      </c>
      <c r="N18" s="320">
        <f>Продажи!N24</f>
        <v>43105</v>
      </c>
      <c r="O18" s="320">
        <f>Продажи!O24</f>
        <v>43136</v>
      </c>
      <c r="P18" s="320">
        <f>Продажи!P24</f>
        <v>43167</v>
      </c>
      <c r="Q18" s="320">
        <f>Продажи!Q24</f>
        <v>43198</v>
      </c>
      <c r="R18" s="320">
        <f>Продажи!R24</f>
        <v>43229</v>
      </c>
      <c r="S18" s="320">
        <f>Продажи!S24</f>
        <v>43260</v>
      </c>
      <c r="T18" s="320">
        <f>Продажи!T24</f>
        <v>43291</v>
      </c>
      <c r="U18" s="320">
        <f>Продажи!U24</f>
        <v>43322</v>
      </c>
      <c r="V18" s="320">
        <f>Продажи!V24</f>
        <v>43353</v>
      </c>
      <c r="W18" s="320">
        <f>Продажи!W24</f>
        <v>43384</v>
      </c>
      <c r="X18" s="320">
        <f>Продажи!X24</f>
        <v>43415</v>
      </c>
      <c r="Y18" s="320">
        <f>Продажи!Y24</f>
        <v>43446</v>
      </c>
      <c r="Z18" s="320">
        <f>Продажи!Z24</f>
        <v>43477</v>
      </c>
      <c r="AA18" s="320">
        <f>Продажи!AA24</f>
        <v>43508</v>
      </c>
      <c r="AB18" s="320">
        <f>Продажи!AB24</f>
        <v>43539</v>
      </c>
      <c r="AC18" s="320">
        <f>Продажи!Q24</f>
        <v>43198</v>
      </c>
      <c r="AD18" s="320">
        <f>Продажи!R24</f>
        <v>43229</v>
      </c>
      <c r="AE18" s="320">
        <f>Продажи!S24</f>
        <v>43260</v>
      </c>
      <c r="AF18" s="320">
        <f>Продажи!T24</f>
        <v>43291</v>
      </c>
      <c r="AG18" s="320">
        <f>Продажи!U24</f>
        <v>43322</v>
      </c>
      <c r="AH18" s="320">
        <f>Продажи!V24</f>
        <v>43353</v>
      </c>
      <c r="AI18" s="320">
        <f>Продажи!W24</f>
        <v>43384</v>
      </c>
      <c r="AJ18" s="320">
        <f>Продажи!X24</f>
        <v>43415</v>
      </c>
      <c r="AK18" s="320">
        <f>Продажи!Y24</f>
        <v>43446</v>
      </c>
      <c r="AL18" s="320">
        <f>Продажи!Z24</f>
        <v>43477</v>
      </c>
      <c r="AM18" s="320">
        <f>Продажи!AA24</f>
        <v>43508</v>
      </c>
      <c r="AN18" s="320">
        <f>Продажи!AB24</f>
        <v>43539</v>
      </c>
      <c r="AO18" s="321"/>
      <c r="AP18" s="275"/>
      <c r="AQ18" s="275"/>
    </row>
    <row r="19" spans="1:43" s="119" customFormat="1" ht="17.25" hidden="1" customHeight="1">
      <c r="A19" s="275"/>
      <c r="B19" s="276"/>
      <c r="C19" s="322"/>
      <c r="D19" s="322"/>
      <c r="E19" s="445">
        <v>1</v>
      </c>
      <c r="F19" s="445">
        <v>2</v>
      </c>
      <c r="G19" s="445">
        <v>3</v>
      </c>
      <c r="H19" s="445">
        <v>4</v>
      </c>
      <c r="I19" s="445">
        <v>5</v>
      </c>
      <c r="J19" s="445">
        <v>6</v>
      </c>
      <c r="K19" s="445">
        <v>7</v>
      </c>
      <c r="L19" s="445">
        <v>8</v>
      </c>
      <c r="M19" s="445">
        <v>9</v>
      </c>
      <c r="N19" s="445">
        <v>10</v>
      </c>
      <c r="O19" s="445">
        <v>11</v>
      </c>
      <c r="P19" s="445">
        <v>12</v>
      </c>
      <c r="Q19" s="445">
        <v>13</v>
      </c>
      <c r="R19" s="445">
        <v>14</v>
      </c>
      <c r="S19" s="445">
        <v>15</v>
      </c>
      <c r="T19" s="445">
        <v>16</v>
      </c>
      <c r="U19" s="445">
        <v>17</v>
      </c>
      <c r="V19" s="445">
        <v>18</v>
      </c>
      <c r="W19" s="445">
        <v>19</v>
      </c>
      <c r="X19" s="445">
        <v>20</v>
      </c>
      <c r="Y19" s="445">
        <v>21</v>
      </c>
      <c r="Z19" s="445">
        <v>22</v>
      </c>
      <c r="AA19" s="445">
        <v>23</v>
      </c>
      <c r="AB19" s="445">
        <v>24</v>
      </c>
      <c r="AC19" s="445">
        <v>25</v>
      </c>
      <c r="AD19" s="445">
        <v>26</v>
      </c>
      <c r="AE19" s="445">
        <v>27</v>
      </c>
      <c r="AF19" s="445">
        <v>28</v>
      </c>
      <c r="AG19" s="445">
        <v>29</v>
      </c>
      <c r="AH19" s="445">
        <v>30</v>
      </c>
      <c r="AI19" s="445">
        <v>31</v>
      </c>
      <c r="AJ19" s="445">
        <v>32</v>
      </c>
      <c r="AK19" s="445">
        <v>33</v>
      </c>
      <c r="AL19" s="445">
        <v>34</v>
      </c>
      <c r="AM19" s="445">
        <v>35</v>
      </c>
      <c r="AN19" s="445">
        <v>36</v>
      </c>
      <c r="AO19" s="321"/>
      <c r="AP19" s="275"/>
      <c r="AQ19" s="275"/>
    </row>
    <row r="20" spans="1:43" s="119" customFormat="1" ht="17.25" customHeight="1">
      <c r="A20" s="275"/>
      <c r="B20" s="276"/>
      <c r="C20" s="323" t="s">
        <v>16</v>
      </c>
      <c r="D20" s="324">
        <f>SUM(E20:AN20)</f>
        <v>119294681.57676286</v>
      </c>
      <c r="E20" s="227">
        <f>Продажи!E47</f>
        <v>1777860.0000000002</v>
      </c>
      <c r="F20" s="227">
        <f>Продажи!F47</f>
        <v>1866753.0000000002</v>
      </c>
      <c r="G20" s="227">
        <f>Продажи!G47</f>
        <v>1960090.6500000004</v>
      </c>
      <c r="H20" s="227">
        <f>Продажи!H47</f>
        <v>2058095.1825000006</v>
      </c>
      <c r="I20" s="227">
        <f>Продажи!I47</f>
        <v>2160999.9416250004</v>
      </c>
      <c r="J20" s="227">
        <f>Продажи!J47</f>
        <v>2269049.9387062509</v>
      </c>
      <c r="K20" s="227">
        <f>Продажи!K47</f>
        <v>2382502.4356415635</v>
      </c>
      <c r="L20" s="227">
        <f>Продажи!L47</f>
        <v>2501627.5574236419</v>
      </c>
      <c r="M20" s="227">
        <f>Продажи!M47</f>
        <v>2626708.9352948237</v>
      </c>
      <c r="N20" s="227">
        <f>Продажи!N47</f>
        <v>2758044.3820595653</v>
      </c>
      <c r="O20" s="227">
        <f>Продажи!O47</f>
        <v>2895946.6011625435</v>
      </c>
      <c r="P20" s="227">
        <f>Продажи!P47</f>
        <v>3040743.9312206707</v>
      </c>
      <c r="Q20" s="227">
        <f>Продажи!Q47</f>
        <v>3101558.8098450839</v>
      </c>
      <c r="R20" s="227">
        <f>Продажи!R47</f>
        <v>3163589.9860419855</v>
      </c>
      <c r="S20" s="227">
        <f>Продажи!S47</f>
        <v>3226861.7857628255</v>
      </c>
      <c r="T20" s="227">
        <f>Продажи!T47</f>
        <v>3291399.0214780821</v>
      </c>
      <c r="U20" s="227">
        <f>Продажи!U47</f>
        <v>3357227.0019076439</v>
      </c>
      <c r="V20" s="227">
        <f>Продажи!V47</f>
        <v>3424371.5419457965</v>
      </c>
      <c r="W20" s="227">
        <f>Продажи!W47</f>
        <v>3492858.9727847129</v>
      </c>
      <c r="X20" s="227">
        <f>Продажи!X47</f>
        <v>3562716.1522404072</v>
      </c>
      <c r="Y20" s="227">
        <f>Продажи!Y47</f>
        <v>3633970.4752852153</v>
      </c>
      <c r="Z20" s="227">
        <f>Продажи!Z47</f>
        <v>3706649.8847909188</v>
      </c>
      <c r="AA20" s="227">
        <f>Продажи!AA47</f>
        <v>3780782.8824867378</v>
      </c>
      <c r="AB20" s="227">
        <f>Продажи!AB47</f>
        <v>3856398.5401364728</v>
      </c>
      <c r="AC20" s="227">
        <f>Продажи!AC47</f>
        <v>3894962.5255378382</v>
      </c>
      <c r="AD20" s="227">
        <f>Продажи!AD47</f>
        <v>3933912.1507932167</v>
      </c>
      <c r="AE20" s="227">
        <f>Продажи!AE47</f>
        <v>3973251.2723011482</v>
      </c>
      <c r="AF20" s="227">
        <f>Продажи!AF47</f>
        <v>4012983.7850241596</v>
      </c>
      <c r="AG20" s="227">
        <f>Продажи!AG47</f>
        <v>4053113.6228744015</v>
      </c>
      <c r="AH20" s="227">
        <f>Продажи!AH47</f>
        <v>4093644.7591031459</v>
      </c>
      <c r="AI20" s="227">
        <f>Продажи!AI47</f>
        <v>4134581.2066941769</v>
      </c>
      <c r="AJ20" s="227">
        <f>Продажи!AJ47</f>
        <v>4175927.0187611189</v>
      </c>
      <c r="AK20" s="227">
        <f>Продажи!AK47</f>
        <v>4217686.2889487306</v>
      </c>
      <c r="AL20" s="227">
        <f>Продажи!AL47</f>
        <v>4259863.1518382169</v>
      </c>
      <c r="AM20" s="227">
        <f>Продажи!AM47</f>
        <v>4302461.7833565995</v>
      </c>
      <c r="AN20" s="227">
        <f>Продажи!AN47</f>
        <v>4345486.4011901654</v>
      </c>
      <c r="AO20" s="325"/>
      <c r="AP20" s="275"/>
      <c r="AQ20" s="275"/>
    </row>
    <row r="21" spans="1:43" s="119" customFormat="1" ht="17.25" customHeight="1">
      <c r="A21" s="275"/>
      <c r="B21" s="276"/>
      <c r="C21" s="323" t="s">
        <v>112</v>
      </c>
      <c r="D21" s="324"/>
      <c r="E21" s="227">
        <f>Продажи!E46</f>
        <v>888930.00000000047</v>
      </c>
      <c r="F21" s="227">
        <f>Продажи!F46</f>
        <v>933376.50000000047</v>
      </c>
      <c r="G21" s="227">
        <f>Продажи!G46</f>
        <v>980045.32500000007</v>
      </c>
      <c r="H21" s="227">
        <f>Продажи!H46</f>
        <v>1029047.5912500003</v>
      </c>
      <c r="I21" s="227">
        <f>Продажи!I46</f>
        <v>1080499.9708125002</v>
      </c>
      <c r="J21" s="227">
        <f>Продажи!J46</f>
        <v>1134524.9693531254</v>
      </c>
      <c r="K21" s="227">
        <f>Продажи!K46</f>
        <v>1191251.217820782</v>
      </c>
      <c r="L21" s="227">
        <f>Продажи!L46</f>
        <v>1250813.778711821</v>
      </c>
      <c r="M21" s="227">
        <f>Продажи!M46</f>
        <v>1313354.4676474119</v>
      </c>
      <c r="N21" s="227">
        <f>Продажи!N46</f>
        <v>1379022.1910297829</v>
      </c>
      <c r="O21" s="227">
        <f>Продажи!O46</f>
        <v>1447973.3005812718</v>
      </c>
      <c r="P21" s="227">
        <f>Продажи!P46</f>
        <v>1520371.9656103353</v>
      </c>
      <c r="Q21" s="227">
        <f>Продажи!Q46</f>
        <v>1550779.4049225422</v>
      </c>
      <c r="R21" s="227">
        <f>Продажи!R46</f>
        <v>1581794.9930209927</v>
      </c>
      <c r="S21" s="227">
        <f>Продажи!S46</f>
        <v>1613430.8928814128</v>
      </c>
      <c r="T21" s="227">
        <f>Продажи!T46</f>
        <v>1645699.5107390415</v>
      </c>
      <c r="U21" s="227">
        <f>Продажи!U46</f>
        <v>1678613.5009538219</v>
      </c>
      <c r="V21" s="227">
        <f>Продажи!V46</f>
        <v>1712185.7709728982</v>
      </c>
      <c r="W21" s="227">
        <f>Продажи!W46</f>
        <v>1746429.4863923569</v>
      </c>
      <c r="X21" s="227">
        <f>Продажи!X46</f>
        <v>1781358.0761202034</v>
      </c>
      <c r="Y21" s="227">
        <f>Продажи!Y46</f>
        <v>1816985.2376426074</v>
      </c>
      <c r="Z21" s="227">
        <f>Продажи!Z46</f>
        <v>1853324.9423954594</v>
      </c>
      <c r="AA21" s="227">
        <f>Продажи!AA46</f>
        <v>1890391.4412433696</v>
      </c>
      <c r="AB21" s="227">
        <f>Продажи!AB46</f>
        <v>1928199.2700682371</v>
      </c>
      <c r="AC21" s="227">
        <f>Продажи!AC46</f>
        <v>1947481.2627689182</v>
      </c>
      <c r="AD21" s="227">
        <f>Продажи!AD46</f>
        <v>1966956.0753966081</v>
      </c>
      <c r="AE21" s="227">
        <f>Продажи!AE46</f>
        <v>1986625.6361505743</v>
      </c>
      <c r="AF21" s="227">
        <f>Продажи!AF46</f>
        <v>2006491.8925120798</v>
      </c>
      <c r="AG21" s="227">
        <f>Продажи!AG46</f>
        <v>2026556.8114372008</v>
      </c>
      <c r="AH21" s="227">
        <f>Продажи!AH46</f>
        <v>2046822.379551573</v>
      </c>
      <c r="AI21" s="227">
        <f>Продажи!AI46</f>
        <v>2067290.6033470884</v>
      </c>
      <c r="AJ21" s="227">
        <f>Продажи!AJ46</f>
        <v>2087963.5093805597</v>
      </c>
      <c r="AK21" s="227">
        <f>Продажи!AK46</f>
        <v>2108843.1444743653</v>
      </c>
      <c r="AL21" s="227">
        <f>Продажи!AL46</f>
        <v>2129931.5759191085</v>
      </c>
      <c r="AM21" s="227">
        <f>Продажи!AM46</f>
        <v>2151230.8916782998</v>
      </c>
      <c r="AN21" s="227">
        <f>Продажи!AN46</f>
        <v>2172743.2005950827</v>
      </c>
      <c r="AO21" s="325"/>
      <c r="AP21" s="275"/>
      <c r="AQ21" s="275"/>
    </row>
    <row r="22" spans="1:43" s="119" customFormat="1" ht="17.25" customHeight="1">
      <c r="A22" s="275"/>
      <c r="B22" s="276"/>
      <c r="C22" s="323" t="s">
        <v>18</v>
      </c>
      <c r="D22" s="324">
        <f t="shared" ref="D22:D28" si="0">SUM(E22:AN22)</f>
        <v>28514235.189211544</v>
      </c>
      <c r="E22" s="227">
        <f>SUM(E23:E28)</f>
        <v>607756.35000000021</v>
      </c>
      <c r="F22" s="227">
        <f t="shared" ref="F22:AN22" si="1">SUM(F23:F28)</f>
        <v>618423.51</v>
      </c>
      <c r="G22" s="227">
        <f t="shared" si="1"/>
        <v>629624.02800000005</v>
      </c>
      <c r="H22" s="227">
        <f t="shared" si="1"/>
        <v>641384.57190000021</v>
      </c>
      <c r="I22" s="227">
        <f t="shared" si="1"/>
        <v>653733.14299500012</v>
      </c>
      <c r="J22" s="227">
        <f t="shared" si="1"/>
        <v>666699.14264475019</v>
      </c>
      <c r="K22" s="227">
        <f t="shared" si="1"/>
        <v>680313.44227698771</v>
      </c>
      <c r="L22" s="227">
        <f t="shared" si="1"/>
        <v>694608.45689083706</v>
      </c>
      <c r="M22" s="227">
        <f t="shared" si="1"/>
        <v>709618.22223537881</v>
      </c>
      <c r="N22" s="227">
        <f t="shared" si="1"/>
        <v>725378.47584714787</v>
      </c>
      <c r="O22" s="227">
        <f t="shared" si="1"/>
        <v>741926.74213950534</v>
      </c>
      <c r="P22" s="227">
        <f t="shared" si="1"/>
        <v>759302.42174648063</v>
      </c>
      <c r="Q22" s="227">
        <f t="shared" si="1"/>
        <v>766600.20718141005</v>
      </c>
      <c r="R22" s="227">
        <f t="shared" si="1"/>
        <v>774043.94832503831</v>
      </c>
      <c r="S22" s="227">
        <f t="shared" si="1"/>
        <v>781636.56429153914</v>
      </c>
      <c r="T22" s="227">
        <f t="shared" si="1"/>
        <v>789381.03257736994</v>
      </c>
      <c r="U22" s="227">
        <f t="shared" si="1"/>
        <v>797280.39022891736</v>
      </c>
      <c r="V22" s="227">
        <f t="shared" si="1"/>
        <v>805337.73503349558</v>
      </c>
      <c r="W22" s="227">
        <f t="shared" si="1"/>
        <v>813556.22673416557</v>
      </c>
      <c r="X22" s="227">
        <f t="shared" si="1"/>
        <v>821939.08826884883</v>
      </c>
      <c r="Y22" s="227">
        <f t="shared" si="1"/>
        <v>830489.60703422583</v>
      </c>
      <c r="Z22" s="227">
        <f t="shared" si="1"/>
        <v>839211.13617491035</v>
      </c>
      <c r="AA22" s="227">
        <f t="shared" si="1"/>
        <v>848107.09589840844</v>
      </c>
      <c r="AB22" s="227">
        <f t="shared" si="1"/>
        <v>857180.97481637681</v>
      </c>
      <c r="AC22" s="227">
        <f t="shared" si="1"/>
        <v>861808.6530645407</v>
      </c>
      <c r="AD22" s="227">
        <f t="shared" si="1"/>
        <v>866482.60809518606</v>
      </c>
      <c r="AE22" s="227">
        <f t="shared" si="1"/>
        <v>871203.30267613789</v>
      </c>
      <c r="AF22" s="227">
        <f t="shared" si="1"/>
        <v>875971.20420289924</v>
      </c>
      <c r="AG22" s="227">
        <f t="shared" si="1"/>
        <v>880786.78474492813</v>
      </c>
      <c r="AH22" s="227">
        <f t="shared" si="1"/>
        <v>885650.5210923776</v>
      </c>
      <c r="AI22" s="227">
        <f t="shared" si="1"/>
        <v>890562.8948033012</v>
      </c>
      <c r="AJ22" s="227">
        <f t="shared" si="1"/>
        <v>895524.39225133439</v>
      </c>
      <c r="AK22" s="227">
        <f t="shared" si="1"/>
        <v>900535.50467384758</v>
      </c>
      <c r="AL22" s="227">
        <f t="shared" si="1"/>
        <v>905596.72822058608</v>
      </c>
      <c r="AM22" s="227">
        <f t="shared" si="1"/>
        <v>910708.56400279189</v>
      </c>
      <c r="AN22" s="227">
        <f t="shared" si="1"/>
        <v>915871.51814281999</v>
      </c>
      <c r="AO22" s="325"/>
      <c r="AP22" s="275"/>
      <c r="AQ22" s="275"/>
    </row>
    <row r="23" spans="1:43" s="119" customFormat="1" ht="17.25" customHeight="1" outlineLevel="1">
      <c r="A23" s="275"/>
      <c r="B23" s="276"/>
      <c r="C23" s="326" t="s">
        <v>72</v>
      </c>
      <c r="D23" s="327">
        <f t="shared" si="0"/>
        <v>3780000</v>
      </c>
      <c r="E23" s="231">
        <f>'Ежемесячные затраты'!$G$24</f>
        <v>105000</v>
      </c>
      <c r="F23" s="231">
        <f>'Ежемесячные затраты'!$G$24</f>
        <v>105000</v>
      </c>
      <c r="G23" s="231">
        <f>'Ежемесячные затраты'!$G$24</f>
        <v>105000</v>
      </c>
      <c r="H23" s="231">
        <f>'Ежемесячные затраты'!$G$24</f>
        <v>105000</v>
      </c>
      <c r="I23" s="231">
        <f>'Ежемесячные затраты'!$G$24</f>
        <v>105000</v>
      </c>
      <c r="J23" s="231">
        <f>'Ежемесячные затраты'!$G$24</f>
        <v>105000</v>
      </c>
      <c r="K23" s="231">
        <f>'Ежемесячные затраты'!$G$24</f>
        <v>105000</v>
      </c>
      <c r="L23" s="231">
        <f>'Ежемесячные затраты'!$G$24</f>
        <v>105000</v>
      </c>
      <c r="M23" s="231">
        <f>'Ежемесячные затраты'!$G$24</f>
        <v>105000</v>
      </c>
      <c r="N23" s="231">
        <f>'Ежемесячные затраты'!$G$24</f>
        <v>105000</v>
      </c>
      <c r="O23" s="231">
        <f>'Ежемесячные затраты'!$G$24</f>
        <v>105000</v>
      </c>
      <c r="P23" s="231">
        <f>'Ежемесячные затраты'!$G$24</f>
        <v>105000</v>
      </c>
      <c r="Q23" s="231">
        <f>'Ежемесячные затраты'!$G$24</f>
        <v>105000</v>
      </c>
      <c r="R23" s="231">
        <f>'Ежемесячные затраты'!$G$24</f>
        <v>105000</v>
      </c>
      <c r="S23" s="231">
        <f>'Ежемесячные затраты'!$G$24</f>
        <v>105000</v>
      </c>
      <c r="T23" s="231">
        <f>'Ежемесячные затраты'!$G$24</f>
        <v>105000</v>
      </c>
      <c r="U23" s="231">
        <f>'Ежемесячные затраты'!$G$24</f>
        <v>105000</v>
      </c>
      <c r="V23" s="231">
        <f>'Ежемесячные затраты'!$G$24</f>
        <v>105000</v>
      </c>
      <c r="W23" s="231">
        <f>'Ежемесячные затраты'!$G$24</f>
        <v>105000</v>
      </c>
      <c r="X23" s="231">
        <f>'Ежемесячные затраты'!$G$24</f>
        <v>105000</v>
      </c>
      <c r="Y23" s="231">
        <f>'Ежемесячные затраты'!$G$24</f>
        <v>105000</v>
      </c>
      <c r="Z23" s="231">
        <f>'Ежемесячные затраты'!$G$24</f>
        <v>105000</v>
      </c>
      <c r="AA23" s="231">
        <f>'Ежемесячные затраты'!$G$24</f>
        <v>105000</v>
      </c>
      <c r="AB23" s="231">
        <f>'Ежемесячные затраты'!$G$24</f>
        <v>105000</v>
      </c>
      <c r="AC23" s="231">
        <f>'Ежемесячные затраты'!$G$24</f>
        <v>105000</v>
      </c>
      <c r="AD23" s="231">
        <f>'Ежемесячные затраты'!$G$24</f>
        <v>105000</v>
      </c>
      <c r="AE23" s="231">
        <f>'Ежемесячные затраты'!$G$24</f>
        <v>105000</v>
      </c>
      <c r="AF23" s="231">
        <f>'Ежемесячные затраты'!$G$24</f>
        <v>105000</v>
      </c>
      <c r="AG23" s="231">
        <f>'Ежемесячные затраты'!$G$24</f>
        <v>105000</v>
      </c>
      <c r="AH23" s="231">
        <f>'Ежемесячные затраты'!$G$24</f>
        <v>105000</v>
      </c>
      <c r="AI23" s="231">
        <f>'Ежемесячные затраты'!$G$24</f>
        <v>105000</v>
      </c>
      <c r="AJ23" s="231">
        <f>'Ежемесячные затраты'!$G$24</f>
        <v>105000</v>
      </c>
      <c r="AK23" s="231">
        <f>'Ежемесячные затраты'!$G$24</f>
        <v>105000</v>
      </c>
      <c r="AL23" s="231">
        <f>'Ежемесячные затраты'!$G$24</f>
        <v>105000</v>
      </c>
      <c r="AM23" s="231">
        <f>'Ежемесячные затраты'!$G$24</f>
        <v>105000</v>
      </c>
      <c r="AN23" s="231">
        <f>'Ежемесячные затраты'!$G$24</f>
        <v>105000</v>
      </c>
      <c r="AO23" s="328"/>
      <c r="AP23" s="275"/>
      <c r="AQ23" s="275"/>
    </row>
    <row r="24" spans="1:43" s="119" customFormat="1" ht="17.25" customHeight="1" outlineLevel="1">
      <c r="A24" s="275"/>
      <c r="B24" s="276"/>
      <c r="C24" s="326" t="s">
        <v>53</v>
      </c>
      <c r="D24" s="327">
        <f t="shared" si="0"/>
        <v>22358888.381327726</v>
      </c>
      <c r="E24" s="231">
        <f>SUMPRODUCT('Ежемесячные затраты'!$D$20:$D$22,'Ежемесячные затраты'!$E$20:$E$22)+IF('Ежемесячные затраты'!$D$20&gt;0,'Ежемесячные затраты'!$F$20*E20,0)+IF('Ежемесячные затраты'!$D$21&gt;0,'Ежемесячные затраты'!$F$21*E20,0)+IF('Ежемесячные затраты'!$D$22&gt;0,'Ежемесячные затраты'!$F$22*E20,0)</f>
        <v>444453.90000000008</v>
      </c>
      <c r="F24" s="231">
        <f>SUMPRODUCT('Ежемесячные затраты'!$D$20:$D$22,'Ежемесячные затраты'!$E$20:$E$22)+IF('Ежемесячные затраты'!$D$20&gt;0,'Ежемесячные затраты'!$F$20*F20,0)+IF('Ежемесячные затраты'!$D$21&gt;0,'Ежемесячные затраты'!$F$21*F20,0)+IF('Ежемесячные затраты'!$D$22&gt;0,'Ежемесячные затраты'!$F$22*F20,0)</f>
        <v>454676.59500000003</v>
      </c>
      <c r="G24" s="231">
        <f>SUMPRODUCT('Ежемесячные затраты'!$D$20:$D$22,'Ежемесячные затраты'!$E$20:$E$22)+IF('Ежемесячные затраты'!$D$20&gt;0,'Ежемесячные затраты'!$F$20*G20,0)+IF('Ежемесячные затраты'!$D$21&gt;0,'Ежемесячные затраты'!$F$21*G20,0)+IF('Ежемесячные затраты'!$D$22&gt;0,'Ежемесячные затраты'!$F$22*G20,0)</f>
        <v>465410.42475000006</v>
      </c>
      <c r="H24" s="231">
        <f>SUMPRODUCT('Ежемесячные затраты'!$D$20:$D$22,'Ежемесячные затраты'!$E$20:$E$22)+IF('Ежемесячные затраты'!$D$20&gt;0,'Ежемесячные затраты'!$F$20*H20,0)+IF('Ежемесячные затраты'!$D$21&gt;0,'Ежемесячные затраты'!$F$21*H20,0)+IF('Ежемесячные затраты'!$D$22&gt;0,'Ежемесячные затраты'!$F$22*H20,0)</f>
        <v>476680.94598750013</v>
      </c>
      <c r="I24" s="231">
        <f>SUMPRODUCT('Ежемесячные затраты'!$D$20:$D$22,'Ежемесячные затраты'!$E$20:$E$22)+IF('Ежемесячные затраты'!$D$20&gt;0,'Ежемесячные затраты'!$F$20*I20,0)+IF('Ежемесячные затраты'!$D$21&gt;0,'Ежемесячные затраты'!$F$21*I20,0)+IF('Ежемесячные затраты'!$D$22&gt;0,'Ежемесячные затраты'!$F$22*I20,0)</f>
        <v>488514.99328687508</v>
      </c>
      <c r="J24" s="231">
        <f>SUMPRODUCT('Ежемесячные затраты'!$D$20:$D$22,'Ежемесячные затраты'!$E$20:$E$22)+IF('Ежемесячные затраты'!$D$20&gt;0,'Ежемесячные затраты'!$F$20*J20,0)+IF('Ежемесячные затраты'!$D$21&gt;0,'Ежемесячные затраты'!$F$21*J20,0)+IF('Ежемесячные затраты'!$D$22&gt;0,'Ежемесячные затраты'!$F$22*J20,0)</f>
        <v>500940.74295121885</v>
      </c>
      <c r="K24" s="231">
        <f>SUMPRODUCT('Ежемесячные затраты'!$D$20:$D$22,'Ежемесячные затраты'!$E$20:$E$22)+IF('Ежемесячные затраты'!$D$20&gt;0,'Ежемесячные затраты'!$F$20*K20,0)+IF('Ежемесячные затраты'!$D$21&gt;0,'Ежемесячные затраты'!$F$21*K20,0)+IF('Ежемесячные затраты'!$D$22&gt;0,'Ежемесячные затраты'!$F$22*K20,0)</f>
        <v>513987.78009877983</v>
      </c>
      <c r="L24" s="231">
        <f>SUMPRODUCT('Ежемесячные затраты'!$D$20:$D$22,'Ежемесячные затраты'!$E$20:$E$22)+IF('Ежемесячные затраты'!$D$20&gt;0,'Ежемесячные затраты'!$F$20*L20,0)+IF('Ежемесячные затраты'!$D$21&gt;0,'Ежемесячные затраты'!$F$21*L20,0)+IF('Ежемесячные затраты'!$D$22&gt;0,'Ежемесячные затраты'!$F$22*L20,0)</f>
        <v>527687.16910371883</v>
      </c>
      <c r="M24" s="231">
        <f>SUMPRODUCT('Ежемесячные затраты'!$D$20:$D$22,'Ежемесячные затраты'!$E$20:$E$22)+IF('Ежемесячные затраты'!$D$20&gt;0,'Ежемесячные затраты'!$F$20*M20,0)+IF('Ежемесячные затраты'!$D$21&gt;0,'Ежемесячные затраты'!$F$21*M20,0)+IF('Ежемесячные затраты'!$D$22&gt;0,'Ежемесячные затраты'!$F$22*M20,0)</f>
        <v>542071.52755890472</v>
      </c>
      <c r="N24" s="231">
        <f>SUMPRODUCT('Ежемесячные затраты'!$D$20:$D$22,'Ежемесячные затраты'!$E$20:$E$22)+IF('Ежемесячные затраты'!$D$20&gt;0,'Ежемесячные затраты'!$F$20*N20,0)+IF('Ежемесячные затраты'!$D$21&gt;0,'Ежемесячные затраты'!$F$21*N20,0)+IF('Ежемесячные затраты'!$D$22&gt;0,'Ежемесячные затраты'!$F$22*N20,0)</f>
        <v>557175.10393684998</v>
      </c>
      <c r="O24" s="231">
        <f>SUMPRODUCT('Ежемесячные затраты'!$D$20:$D$22,'Ежемесячные затраты'!$E$20:$E$22)+IF('Ежемесячные затраты'!$D$20&gt;0,'Ежемесячные затраты'!$F$20*O20,0)+IF('Ежемесячные затраты'!$D$21&gt;0,'Ежемесячные затраты'!$F$21*O20,0)+IF('Ежемесячные затраты'!$D$22&gt;0,'Ежемесячные затраты'!$F$22*O20,0)</f>
        <v>573033.85913369257</v>
      </c>
      <c r="P24" s="231">
        <f>SUMPRODUCT('Ежемесячные затраты'!$D$20:$D$22,'Ежемесячные затраты'!$E$20:$E$22)+IF('Ежемесячные затраты'!$D$20&gt;0,'Ежемесячные затраты'!$F$20*P20,0)+IF('Ежемесячные затраты'!$D$21&gt;0,'Ежемесячные затраты'!$F$21*P20,0)+IF('Ежемесячные затраты'!$D$22&gt;0,'Ежемесячные затраты'!$F$22*P20,0)</f>
        <v>589685.5520903772</v>
      </c>
      <c r="Q24" s="231">
        <f>SUMPRODUCT('Ежемесячные затраты'!$D$20:$D$22,'Ежемесячные затраты'!$E$20:$E$22)+IF('Ежемесячные затраты'!$D$20&gt;0,'Ежемесячные затраты'!$F$20*Q20,0)+IF('Ежемесячные затраты'!$D$21&gt;0,'Ежемесячные затраты'!$F$21*Q20,0)+IF('Ежемесячные затраты'!$D$22&gt;0,'Ежемесячные затраты'!$F$22*Q20,0)</f>
        <v>596679.26313218463</v>
      </c>
      <c r="R24" s="231">
        <f>SUMPRODUCT('Ежемесячные затраты'!$D$20:$D$22,'Ежемесячные затраты'!$E$20:$E$22)+IF('Ежемесячные затраты'!$D$20&gt;0,'Ежемесячные затраты'!$F$20*R20,0)+IF('Ежемесячные затраты'!$D$21&gt;0,'Ежемесячные затраты'!$F$21*R20,0)+IF('Ежемесячные затраты'!$D$22&gt;0,'Ежемесячные затраты'!$F$22*R20,0)</f>
        <v>603812.84839482838</v>
      </c>
      <c r="S24" s="231">
        <f>SUMPRODUCT('Ежемесячные затраты'!$D$20:$D$22,'Ежемесячные затраты'!$E$20:$E$22)+IF('Ежемесячные затраты'!$D$20&gt;0,'Ежемесячные затраты'!$F$20*S20,0)+IF('Ежемесячные затраты'!$D$21&gt;0,'Ежемесячные затраты'!$F$21*S20,0)+IF('Ежемесячные затраты'!$D$22&gt;0,'Ежемесячные затраты'!$F$22*S20,0)</f>
        <v>611089.10536272498</v>
      </c>
      <c r="T24" s="231">
        <f>SUMPRODUCT('Ежемесячные затраты'!$D$20:$D$22,'Ежемесячные затраты'!$E$20:$E$22)+IF('Ежемесячные затраты'!$D$20&gt;0,'Ежемесячные затраты'!$F$20*T20,0)+IF('Ежемесячные затраты'!$D$21&gt;0,'Ежемесячные затраты'!$F$21*T20,0)+IF('Ежемесячные затраты'!$D$22&gt;0,'Ежемесячные затраты'!$F$22*T20,0)</f>
        <v>618510.88746997947</v>
      </c>
      <c r="U24" s="231">
        <f>SUMPRODUCT('Ежемесячные затраты'!$D$20:$D$22,'Ежемесячные затраты'!$E$20:$E$22)+IF('Ежемесячные затраты'!$D$20&gt;0,'Ежемесячные затраты'!$F$20*U20,0)+IF('Ежемесячные затраты'!$D$21&gt;0,'Ежемесячные затраты'!$F$21*U20,0)+IF('Ежемесячные затраты'!$D$22&gt;0,'Ежемесячные затраты'!$F$22*U20,0)</f>
        <v>626081.10521937907</v>
      </c>
      <c r="V24" s="231">
        <f>SUMPRODUCT('Ежемесячные затраты'!$D$20:$D$22,'Ежемесячные затраты'!$E$20:$E$22)+IF('Ежемесячные затраты'!$D$20&gt;0,'Ежемесячные затраты'!$F$20*V20,0)+IF('Ежемесячные затраты'!$D$21&gt;0,'Ежемесячные затраты'!$F$21*V20,0)+IF('Ежемесячные затраты'!$D$22&gt;0,'Ежемесячные затраты'!$F$22*V20,0)</f>
        <v>633802.72732376656</v>
      </c>
      <c r="W24" s="231">
        <f>SUMPRODUCT('Ежемесячные затраты'!$D$20:$D$22,'Ежемесячные затраты'!$E$20:$E$22)+IF('Ежемесячные затраты'!$D$20&gt;0,'Ежемесячные затраты'!$F$20*W20,0)+IF('Ежемесячные затраты'!$D$21&gt;0,'Ежемесячные затраты'!$F$21*W20,0)+IF('Ежемесячные затраты'!$D$22&gt;0,'Ежемесячные затраты'!$F$22*W20,0)</f>
        <v>641678.78187024198</v>
      </c>
      <c r="X24" s="231">
        <f>SUMPRODUCT('Ежемесячные затраты'!$D$20:$D$22,'Ежемесячные затраты'!$E$20:$E$22)+IF('Ежемесячные затраты'!$D$20&gt;0,'Ежемесячные затраты'!$F$20*X20,0)+IF('Ежемесячные затраты'!$D$21&gt;0,'Ежемесячные затраты'!$F$21*X20,0)+IF('Ежемесячные затраты'!$D$22&gt;0,'Ежемесячные затраты'!$F$22*X20,0)</f>
        <v>649712.35750764678</v>
      </c>
      <c r="Y24" s="231">
        <f>SUMPRODUCT('Ежемесячные затраты'!$D$20:$D$22,'Ежемесячные затраты'!$E$20:$E$22)+IF('Ежемесячные затраты'!$D$20&gt;0,'Ежемесячные затраты'!$F$20*Y20,0)+IF('Ежемесячные затраты'!$D$21&gt;0,'Ежемесячные затраты'!$F$21*Y20,0)+IF('Ежемесячные затраты'!$D$22&gt;0,'Ежемесячные затраты'!$F$22*Y20,0)</f>
        <v>657906.6046577997</v>
      </c>
      <c r="Z24" s="231">
        <f>SUMPRODUCT('Ежемесячные затраты'!$D$20:$D$22,'Ежемесячные затраты'!$E$20:$E$22)+IF('Ежемесячные затраты'!$D$20&gt;0,'Ежемесячные затраты'!$F$20*Z20,0)+IF('Ежемесячные затраты'!$D$21&gt;0,'Ежемесячные затраты'!$F$21*Z20,0)+IF('Ежемесячные затраты'!$D$22&gt;0,'Ежемесячные затраты'!$F$22*Z20,0)</f>
        <v>666264.73675095569</v>
      </c>
      <c r="AA24" s="231">
        <f>SUMPRODUCT('Ежемесячные затраты'!$D$20:$D$22,'Ежемесячные затраты'!$E$20:$E$22)+IF('Ежемесячные затраты'!$D$20&gt;0,'Ежемесячные затраты'!$F$20*AA20,0)+IF('Ежемесячные затраты'!$D$21&gt;0,'Ежемесячные затраты'!$F$21*AA20,0)+IF('Ежемесячные затраты'!$D$22&gt;0,'Ежемесячные затраты'!$F$22*AA20,0)</f>
        <v>674790.03148597479</v>
      </c>
      <c r="AB24" s="231">
        <f>SUMPRODUCT('Ежемесячные затраты'!$D$20:$D$22,'Ежемесячные затраты'!$E$20:$E$22)+IF('Ежемесячные затраты'!$D$20&gt;0,'Ежемесячные затраты'!$F$20*AB20,0)+IF('Ежемесячные затраты'!$D$21&gt;0,'Ежемесячные затраты'!$F$21*AB20,0)+IF('Ежемесячные затраты'!$D$22&gt;0,'Ежемесячные затраты'!$F$22*AB20,0)</f>
        <v>683485.83211569441</v>
      </c>
      <c r="AC24" s="231">
        <f>SUMPRODUCT('Ежемесячные затраты'!$D$20:$D$22,'Ежемесячные затраты'!$E$20:$E$22)+IF('Ежемесячные затраты'!$D$20&gt;0,'Ежемесячные затраты'!$F$20*AC20,0)+IF('Ежемесячные затраты'!$D$21&gt;0,'Ежемесячные затраты'!$F$21*AC20,0)+IF('Ежемесячные затраты'!$D$22&gt;0,'Ежемесячные затраты'!$F$22*AC20,0)</f>
        <v>687920.69043685147</v>
      </c>
      <c r="AD24" s="231">
        <f>SUMPRODUCT('Ежемесячные затраты'!$D$20:$D$22,'Ежемесячные затраты'!$E$20:$E$22)+IF('Ежемесячные затраты'!$D$20&gt;0,'Ежемесячные затраты'!$F$20*AD20,0)+IF('Ежемесячные затраты'!$D$21&gt;0,'Ежемесячные затраты'!$F$21*AD20,0)+IF('Ежемесячные затраты'!$D$22&gt;0,'Ежемесячные затраты'!$F$22*AD20,0)</f>
        <v>692399.89734121994</v>
      </c>
      <c r="AE24" s="231">
        <f>SUMPRODUCT('Ежемесячные затраты'!$D$20:$D$22,'Ежемесячные затраты'!$E$20:$E$22)+IF('Ежемесячные затраты'!$D$20&gt;0,'Ежемесячные затраты'!$F$20*AE20,0)+IF('Ежемесячные затраты'!$D$21&gt;0,'Ежемесячные затраты'!$F$21*AE20,0)+IF('Ежемесячные затраты'!$D$22&gt;0,'Ежемесячные затраты'!$F$22*AE20,0)</f>
        <v>696923.89631463215</v>
      </c>
      <c r="AF24" s="231">
        <f>SUMPRODUCT('Ежемесячные затраты'!$D$20:$D$22,'Ежемесячные затраты'!$E$20:$E$22)+IF('Ежемесячные затраты'!$D$20&gt;0,'Ежемесячные затраты'!$F$20*AF20,0)+IF('Ежемесячные затраты'!$D$21&gt;0,'Ежемесячные затраты'!$F$21*AF20,0)+IF('Ежемесячные затраты'!$D$22&gt;0,'Ежемесячные затраты'!$F$22*AF20,0)</f>
        <v>701493.13527777838</v>
      </c>
      <c r="AG24" s="231">
        <f>SUMPRODUCT('Ежемесячные затраты'!$D$20:$D$22,'Ежемесячные затраты'!$E$20:$E$22)+IF('Ежемесячные затраты'!$D$20&gt;0,'Ежемесячные затраты'!$F$20*AG20,0)+IF('Ежемесячные затраты'!$D$21&gt;0,'Ежемесячные затраты'!$F$21*AG20,0)+IF('Ежемесячные затраты'!$D$22&gt;0,'Ежемесячные затраты'!$F$22*AG20,0)</f>
        <v>706108.06663055613</v>
      </c>
      <c r="AH24" s="231">
        <f>SUMPRODUCT('Ежемесячные затраты'!$D$20:$D$22,'Ежемесячные затраты'!$E$20:$E$22)+IF('Ежемесячные затраты'!$D$20&gt;0,'Ежемесячные затраты'!$F$20*AH20,0)+IF('Ежемесячные затраты'!$D$21&gt;0,'Ежемесячные затраты'!$F$21*AH20,0)+IF('Ежемесячные затраты'!$D$22&gt;0,'Ежемесячные затраты'!$F$22*AH20,0)</f>
        <v>710769.14729686186</v>
      </c>
      <c r="AI24" s="231">
        <f>SUMPRODUCT('Ежемесячные затраты'!$D$20:$D$22,'Ежемесячные затраты'!$E$20:$E$22)+IF('Ежемесячные затраты'!$D$20&gt;0,'Ежемесячные затраты'!$F$20*AI20,0)+IF('Ежемесячные затраты'!$D$21&gt;0,'Ежемесячные затраты'!$F$21*AI20,0)+IF('Ежемесячные затраты'!$D$22&gt;0,'Ежемесячные затраты'!$F$22*AI20,0)</f>
        <v>715476.8387698303</v>
      </c>
      <c r="AJ24" s="231">
        <f>SUMPRODUCT('Ежемесячные затраты'!$D$20:$D$22,'Ежемесячные затраты'!$E$20:$E$22)+IF('Ежемесячные затраты'!$D$20&gt;0,'Ежемесячные затраты'!$F$20*AJ20,0)+IF('Ежемесячные затраты'!$D$21&gt;0,'Ежемесячные затраты'!$F$21*AJ20,0)+IF('Ежемесячные затраты'!$D$22&gt;0,'Ежемесячные затраты'!$F$22*AJ20,0)</f>
        <v>720231.60715752875</v>
      </c>
      <c r="AK24" s="231">
        <f>SUMPRODUCT('Ежемесячные затраты'!$D$20:$D$22,'Ежемесячные затраты'!$E$20:$E$22)+IF('Ежемесячные затраты'!$D$20&gt;0,'Ежемесячные затраты'!$F$20*AK20,0)+IF('Ежемесячные затраты'!$D$21&gt;0,'Ежемесячные затраты'!$F$21*AK20,0)+IF('Ежемесячные затраты'!$D$22&gt;0,'Ежемесячные затраты'!$F$22*AK20,0)</f>
        <v>725033.92322910391</v>
      </c>
      <c r="AL24" s="231">
        <f>SUMPRODUCT('Ежемесячные затраты'!$D$20:$D$22,'Ежемесячные затраты'!$E$20:$E$22)+IF('Ежемесячные затраты'!$D$20&gt;0,'Ежемесячные затраты'!$F$20*AL20,0)+IF('Ежемесячные затраты'!$D$21&gt;0,'Ежемесячные затраты'!$F$21*AL20,0)+IF('Ежемесячные затраты'!$D$22&gt;0,'Ежемесячные затраты'!$F$22*AL20,0)</f>
        <v>729884.262461395</v>
      </c>
      <c r="AM24" s="231">
        <f>SUMPRODUCT('Ежемесячные затраты'!$D$20:$D$22,'Ежемесячные затраты'!$E$20:$E$22)+IF('Ежемесячные затраты'!$D$20&gt;0,'Ежемесячные затраты'!$F$20*AM20,0)+IF('Ежемесячные затраты'!$D$21&gt;0,'Ежемесячные затраты'!$F$21*AM20,0)+IF('Ежемесячные затраты'!$D$22&gt;0,'Ежемесячные затраты'!$F$22*AM20,0)</f>
        <v>734783.1050860089</v>
      </c>
      <c r="AN24" s="231">
        <f>SUMPRODUCT('Ежемесячные затраты'!$D$20:$D$22,'Ежемесячные затраты'!$E$20:$E$22)+IF('Ежемесячные затраты'!$D$20&gt;0,'Ежемесячные затраты'!$F$20*AN20,0)+IF('Ежемесячные затраты'!$D$21&gt;0,'Ежемесячные затраты'!$F$21*AN20,0)+IF('Ежемесячные затраты'!$D$22&gt;0,'Ежемесячные затраты'!$F$22*AN20,0)</f>
        <v>739730.93613686913</v>
      </c>
      <c r="AO24" s="328"/>
      <c r="AP24" s="275"/>
      <c r="AQ24" s="275"/>
    </row>
    <row r="25" spans="1:43" s="119" customFormat="1" ht="17.25" customHeight="1" outlineLevel="1">
      <c r="A25" s="275"/>
      <c r="B25" s="276"/>
      <c r="C25" s="326" t="s">
        <v>203</v>
      </c>
      <c r="D25" s="327">
        <f t="shared" si="0"/>
        <v>0</v>
      </c>
      <c r="E25" s="327">
        <f>'Ежемесячные затраты'!$G$30</f>
        <v>0</v>
      </c>
      <c r="F25" s="327">
        <f>'Ежемесячные затраты'!$G$30</f>
        <v>0</v>
      </c>
      <c r="G25" s="327">
        <f>'Ежемесячные затраты'!$G$30</f>
        <v>0</v>
      </c>
      <c r="H25" s="327">
        <f>'Ежемесячные затраты'!$G$30</f>
        <v>0</v>
      </c>
      <c r="I25" s="327">
        <f>'Ежемесячные затраты'!$G$30</f>
        <v>0</v>
      </c>
      <c r="J25" s="327">
        <f>'Ежемесячные затраты'!$G$30</f>
        <v>0</v>
      </c>
      <c r="K25" s="327">
        <f>'Ежемесячные затраты'!$G$30</f>
        <v>0</v>
      </c>
      <c r="L25" s="327">
        <f>'Ежемесячные затраты'!$G$30</f>
        <v>0</v>
      </c>
      <c r="M25" s="327">
        <f>'Ежемесячные затраты'!$G$30</f>
        <v>0</v>
      </c>
      <c r="N25" s="327">
        <f>'Ежемесячные затраты'!$G$30</f>
        <v>0</v>
      </c>
      <c r="O25" s="327">
        <f>'Ежемесячные затраты'!$G$30</f>
        <v>0</v>
      </c>
      <c r="P25" s="327">
        <f>'Ежемесячные затраты'!$G$30</f>
        <v>0</v>
      </c>
      <c r="Q25" s="327">
        <f>'Ежемесячные затраты'!$G$30</f>
        <v>0</v>
      </c>
      <c r="R25" s="327">
        <f>'Ежемесячные затраты'!$G$30</f>
        <v>0</v>
      </c>
      <c r="S25" s="327">
        <f>'Ежемесячные затраты'!$G$30</f>
        <v>0</v>
      </c>
      <c r="T25" s="327">
        <f>'Ежемесячные затраты'!$G$30</f>
        <v>0</v>
      </c>
      <c r="U25" s="327">
        <f>'Ежемесячные затраты'!$G$30</f>
        <v>0</v>
      </c>
      <c r="V25" s="327">
        <f>'Ежемесячные затраты'!$G$30</f>
        <v>0</v>
      </c>
      <c r="W25" s="327">
        <f>'Ежемесячные затраты'!$G$30</f>
        <v>0</v>
      </c>
      <c r="X25" s="327">
        <f>'Ежемесячные затраты'!$G$30</f>
        <v>0</v>
      </c>
      <c r="Y25" s="327">
        <f>'Ежемесячные затраты'!$G$30</f>
        <v>0</v>
      </c>
      <c r="Z25" s="327">
        <f>'Ежемесячные затраты'!$G$30</f>
        <v>0</v>
      </c>
      <c r="AA25" s="327">
        <f>'Ежемесячные затраты'!$G$30</f>
        <v>0</v>
      </c>
      <c r="AB25" s="327">
        <f>'Ежемесячные затраты'!$G$30</f>
        <v>0</v>
      </c>
      <c r="AC25" s="327">
        <f>'Ежемесячные затраты'!$G$30</f>
        <v>0</v>
      </c>
      <c r="AD25" s="327">
        <f>'Ежемесячные затраты'!$G$30</f>
        <v>0</v>
      </c>
      <c r="AE25" s="327">
        <f>'Ежемесячные затраты'!$G$30</f>
        <v>0</v>
      </c>
      <c r="AF25" s="327">
        <f>'Ежемесячные затраты'!$G$30</f>
        <v>0</v>
      </c>
      <c r="AG25" s="327">
        <f>'Ежемесячные затраты'!$G$30</f>
        <v>0</v>
      </c>
      <c r="AH25" s="327">
        <f>'Ежемесячные затраты'!$G$30</f>
        <v>0</v>
      </c>
      <c r="AI25" s="327">
        <f>'Ежемесячные затраты'!$G$30</f>
        <v>0</v>
      </c>
      <c r="AJ25" s="327">
        <f>'Ежемесячные затраты'!$G$30</f>
        <v>0</v>
      </c>
      <c r="AK25" s="327">
        <f>'Ежемесячные затраты'!$G$30</f>
        <v>0</v>
      </c>
      <c r="AL25" s="327">
        <f>'Ежемесячные затраты'!$G$30</f>
        <v>0</v>
      </c>
      <c r="AM25" s="327">
        <f>'Ежемесячные затраты'!$G$30</f>
        <v>0</v>
      </c>
      <c r="AN25" s="327">
        <f>'Ежемесячные затраты'!$G$30</f>
        <v>0</v>
      </c>
      <c r="AO25" s="328"/>
      <c r="AP25" s="275"/>
      <c r="AQ25" s="275"/>
    </row>
    <row r="26" spans="1:43" s="119" customFormat="1" ht="17.25" customHeight="1" outlineLevel="1">
      <c r="A26" s="275"/>
      <c r="B26" s="276"/>
      <c r="C26" s="326" t="s">
        <v>23</v>
      </c>
      <c r="D26" s="327">
        <f t="shared" si="0"/>
        <v>158873.39999999991</v>
      </c>
      <c r="E26" s="231">
        <f>IF('Входящие данные'!$E$23="УСН 6%",E20*'Ежемесячные затраты'!$F$26,(IF('Входящие данные'!$E$23="УСН 15%",E40*'Ежемесячные затраты'!$F$26,'Ежемесячные затраты'!$G$26)))</f>
        <v>4413.1500000000005</v>
      </c>
      <c r="F26" s="231">
        <f>IF('Входящие данные'!$E$23="УСН 6%",F20*'Ежемесячные затраты'!$F$26,(IF('Входящие данные'!$E$23="УСН 15%",F40*'Ежемесячные затраты'!$F$26,'Ежемесячные затраты'!$G$26)))</f>
        <v>4413.1500000000005</v>
      </c>
      <c r="G26" s="231">
        <f>IF('Входящие данные'!$E$23="УСН 6%",G20*'Ежемесячные затраты'!$F$26,(IF('Входящие данные'!$E$23="УСН 15%",G40*'Ежемесячные затраты'!$F$26,'Ежемесячные затраты'!$G$26)))</f>
        <v>4413.1500000000005</v>
      </c>
      <c r="H26" s="231">
        <f>IF('Входящие данные'!$E$23="УСН 6%",H20*'Ежемесячные затраты'!$F$26,(IF('Входящие данные'!$E$23="УСН 15%",H40*'Ежемесячные затраты'!$F$26,'Ежемесячные затраты'!$G$26)))</f>
        <v>4413.1500000000005</v>
      </c>
      <c r="I26" s="231">
        <f>IF('Входящие данные'!$E$23="УСН 6%",I20*'Ежемесячные затраты'!$F$26,(IF('Входящие данные'!$E$23="УСН 15%",I40*'Ежемесячные затраты'!$F$26,'Ежемесячные затраты'!$G$26)))</f>
        <v>4413.1500000000005</v>
      </c>
      <c r="J26" s="231">
        <f>IF('Входящие данные'!$E$23="УСН 6%",J20*'Ежемесячные затраты'!$F$26,(IF('Входящие данные'!$E$23="УСН 15%",J40*'Ежемесячные затраты'!$F$26,'Ежемесячные затраты'!$G$26)))</f>
        <v>4413.1500000000005</v>
      </c>
      <c r="K26" s="231">
        <f>IF('Входящие данные'!$E$23="УСН 6%",K20*'Ежемесячные затраты'!$F$26,(IF('Входящие данные'!$E$23="УСН 15%",K40*'Ежемесячные затраты'!$F$26,'Ежемесячные затраты'!$G$26)))</f>
        <v>4413.1500000000005</v>
      </c>
      <c r="L26" s="231">
        <f>IF('Входящие данные'!$E$23="УСН 6%",L20*'Ежемесячные затраты'!$F$26,(IF('Входящие данные'!$E$23="УСН 15%",L40*'Ежемесячные затраты'!$F$26,'Ежемесячные затраты'!$G$26)))</f>
        <v>4413.1500000000005</v>
      </c>
      <c r="M26" s="231">
        <f>IF('Входящие данные'!$E$23="УСН 6%",M20*'Ежемесячные затраты'!$F$26,(IF('Входящие данные'!$E$23="УСН 15%",M40*'Ежемесячные затраты'!$F$26,'Ежемесячные затраты'!$G$26)))</f>
        <v>4413.1500000000005</v>
      </c>
      <c r="N26" s="231">
        <f>IF('Входящие данные'!$E$23="УСН 6%",N20*'Ежемесячные затраты'!$F$26,(IF('Входящие данные'!$E$23="УСН 15%",N40*'Ежемесячные затраты'!$F$26,'Ежемесячные затраты'!$G$26)))</f>
        <v>4413.1500000000005</v>
      </c>
      <c r="O26" s="231">
        <f>IF('Входящие данные'!$E$23="УСН 6%",O20*'Ежемесячные затраты'!$F$26,(IF('Входящие данные'!$E$23="УСН 15%",O40*'Ежемесячные затраты'!$F$26,'Ежемесячные затраты'!$G$26)))</f>
        <v>4413.1500000000005</v>
      </c>
      <c r="P26" s="231">
        <f>IF('Входящие данные'!$E$23="УСН 6%",P20*'Ежемесячные затраты'!$F$26,(IF('Входящие данные'!$E$23="УСН 15%",P40*'Ежемесячные затраты'!$F$26,'Ежемесячные затраты'!$G$26)))</f>
        <v>4413.1500000000005</v>
      </c>
      <c r="Q26" s="231">
        <f>IF('Входящие данные'!$E$23="УСН 6%",Q20*'Ежемесячные затраты'!$F$26,(IF('Входящие данные'!$E$23="УСН 15%",Q40*'Ежемесячные затраты'!$F$26,'Ежемесячные затраты'!$G$26)))</f>
        <v>4413.1500000000005</v>
      </c>
      <c r="R26" s="231">
        <f>IF('Входящие данные'!$E$23="УСН 6%",R20*'Ежемесячные затраты'!$F$26,(IF('Входящие данные'!$E$23="УСН 15%",R40*'Ежемесячные затраты'!$F$26,'Ежемесячные затраты'!$G$26)))</f>
        <v>4413.1500000000005</v>
      </c>
      <c r="S26" s="231">
        <f>IF('Входящие данные'!$E$23="УСН 6%",S20*'Ежемесячные затраты'!$F$26,(IF('Входящие данные'!$E$23="УСН 15%",S40*'Ежемесячные затраты'!$F$26,'Ежемесячные затраты'!$G$26)))</f>
        <v>4413.1500000000005</v>
      </c>
      <c r="T26" s="231">
        <f>IF('Входящие данные'!$E$23="УСН 6%",T20*'Ежемесячные затраты'!$F$26,(IF('Входящие данные'!$E$23="УСН 15%",T40*'Ежемесячные затраты'!$F$26,'Ежемесячные затраты'!$G$26)))</f>
        <v>4413.1500000000005</v>
      </c>
      <c r="U26" s="231">
        <f>IF('Входящие данные'!$E$23="УСН 6%",U20*'Ежемесячные затраты'!$F$26,(IF('Входящие данные'!$E$23="УСН 15%",U40*'Ежемесячные затраты'!$F$26,'Ежемесячные затраты'!$G$26)))</f>
        <v>4413.1500000000005</v>
      </c>
      <c r="V26" s="231">
        <f>IF('Входящие данные'!$E$23="УСН 6%",V20*'Ежемесячные затраты'!$F$26,(IF('Входящие данные'!$E$23="УСН 15%",V40*'Ежемесячные затраты'!$F$26,'Ежемесячные затраты'!$G$26)))</f>
        <v>4413.1500000000005</v>
      </c>
      <c r="W26" s="231">
        <f>IF('Входящие данные'!$E$23="УСН 6%",W20*'Ежемесячные затраты'!$F$26,(IF('Входящие данные'!$E$23="УСН 15%",W40*'Ежемесячные затраты'!$F$26,'Ежемесячные затраты'!$G$26)))</f>
        <v>4413.1500000000005</v>
      </c>
      <c r="X26" s="231">
        <f>IF('Входящие данные'!$E$23="УСН 6%",X20*'Ежемесячные затраты'!$F$26,(IF('Входящие данные'!$E$23="УСН 15%",X40*'Ежемесячные затраты'!$F$26,'Ежемесячные затраты'!$G$26)))</f>
        <v>4413.1500000000005</v>
      </c>
      <c r="Y26" s="231">
        <f>IF('Входящие данные'!$E$23="УСН 6%",Y20*'Ежемесячные затраты'!$F$26,(IF('Входящие данные'!$E$23="УСН 15%",Y40*'Ежемесячные затраты'!$F$26,'Ежемесячные затраты'!$G$26)))</f>
        <v>4413.1500000000005</v>
      </c>
      <c r="Z26" s="231">
        <f>IF('Входящие данные'!$E$23="УСН 6%",Z20*'Ежемесячные затраты'!$F$26,(IF('Входящие данные'!$E$23="УСН 15%",Z40*'Ежемесячные затраты'!$F$26,'Ежемесячные затраты'!$G$26)))</f>
        <v>4413.1500000000005</v>
      </c>
      <c r="AA26" s="231">
        <f>IF('Входящие данные'!$E$23="УСН 6%",AA20*'Ежемесячные затраты'!$F$26,(IF('Входящие данные'!$E$23="УСН 15%",AA40*'Ежемесячные затраты'!$F$26,'Ежемесячные затраты'!$G$26)))</f>
        <v>4413.1500000000005</v>
      </c>
      <c r="AB26" s="231">
        <f>IF('Входящие данные'!$E$23="УСН 6%",AB20*'Ежемесячные затраты'!$F$26,(IF('Входящие данные'!$E$23="УСН 15%",AB40*'Ежемесячные затраты'!$F$26,'Ежемесячные затраты'!$G$26)))</f>
        <v>4413.1500000000005</v>
      </c>
      <c r="AC26" s="231">
        <f>IF('Входящие данные'!$E$23="УСН 6%",AC20*'Ежемесячные затраты'!$F$26,(IF('Входящие данные'!$E$23="УСН 15%",AC40*'Ежемесячные затраты'!$F$26,'Ежемесячные затраты'!$G$26)))</f>
        <v>4413.1500000000005</v>
      </c>
      <c r="AD26" s="231">
        <f>IF('Входящие данные'!$E$23="УСН 6%",AD20*'Ежемесячные затраты'!$F$26,(IF('Входящие данные'!$E$23="УСН 15%",AD40*'Ежемесячные затраты'!$F$26,'Ежемесячные затраты'!$G$26)))</f>
        <v>4413.1500000000005</v>
      </c>
      <c r="AE26" s="231">
        <f>IF('Входящие данные'!$E$23="УСН 6%",AE20*'Ежемесячные затраты'!$F$26,(IF('Входящие данные'!$E$23="УСН 15%",AE40*'Ежемесячные затраты'!$F$26,'Ежемесячные затраты'!$G$26)))</f>
        <v>4413.1500000000005</v>
      </c>
      <c r="AF26" s="231">
        <f>IF('Входящие данные'!$E$23="УСН 6%",AF20*'Ежемесячные затраты'!$F$26,(IF('Входящие данные'!$E$23="УСН 15%",AF40*'Ежемесячные затраты'!$F$26,'Ежемесячные затраты'!$G$26)))</f>
        <v>4413.1500000000005</v>
      </c>
      <c r="AG26" s="231">
        <f>IF('Входящие данные'!$E$23="УСН 6%",AG20*'Ежемесячные затраты'!$F$26,(IF('Входящие данные'!$E$23="УСН 15%",AG40*'Ежемесячные затраты'!$F$26,'Ежемесячные затраты'!$G$26)))</f>
        <v>4413.1500000000005</v>
      </c>
      <c r="AH26" s="231">
        <f>IF('Входящие данные'!$E$23="УСН 6%",AH20*'Ежемесячные затраты'!$F$26,(IF('Входящие данные'!$E$23="УСН 15%",AH40*'Ежемесячные затраты'!$F$26,'Ежемесячные затраты'!$G$26)))</f>
        <v>4413.1500000000005</v>
      </c>
      <c r="AI26" s="231">
        <f>IF('Входящие данные'!$E$23="УСН 6%",AI20*'Ежемесячные затраты'!$F$26,(IF('Входящие данные'!$E$23="УСН 15%",AI40*'Ежемесячные затраты'!$F$26,'Ежемесячные затраты'!$G$26)))</f>
        <v>4413.1500000000005</v>
      </c>
      <c r="AJ26" s="231">
        <f>IF('Входящие данные'!$E$23="УСН 6%",AJ20*'Ежемесячные затраты'!$F$26,(IF('Входящие данные'!$E$23="УСН 15%",AJ40*'Ежемесячные затраты'!$F$26,'Ежемесячные затраты'!$G$26)))</f>
        <v>4413.1500000000005</v>
      </c>
      <c r="AK26" s="231">
        <f>IF('Входящие данные'!$E$23="УСН 6%",AK20*'Ежемесячные затраты'!$F$26,(IF('Входящие данные'!$E$23="УСН 15%",AK40*'Ежемесячные затраты'!$F$26,'Ежемесячные затраты'!$G$26)))</f>
        <v>4413.1500000000005</v>
      </c>
      <c r="AL26" s="231">
        <f>IF('Входящие данные'!$E$23="УСН 6%",AL20*'Ежемесячные затраты'!$F$26,(IF('Входящие данные'!$E$23="УСН 15%",AL40*'Ежемесячные затраты'!$F$26,'Ежемесячные затраты'!$G$26)))</f>
        <v>4413.1500000000005</v>
      </c>
      <c r="AM26" s="231">
        <f>IF('Входящие данные'!$E$23="УСН 6%",AM20*'Ежемесячные затраты'!$F$26,(IF('Входящие данные'!$E$23="УСН 15%",AM40*'Ежемесячные затраты'!$F$26,'Ежемесячные затраты'!$G$26)))</f>
        <v>4413.1500000000005</v>
      </c>
      <c r="AN26" s="231">
        <f>IF('Входящие данные'!$E$23="УСН 6%",AN20*'Ежемесячные затраты'!$F$26,(IF('Входящие данные'!$E$23="УСН 15%",AN40*'Ежемесячные затраты'!$F$26,'Ежемесячные затраты'!$G$26)))</f>
        <v>4413.1500000000005</v>
      </c>
      <c r="AO26" s="328"/>
      <c r="AP26" s="275"/>
      <c r="AQ26" s="275"/>
    </row>
    <row r="27" spans="1:43" s="119" customFormat="1" ht="17.25" customHeight="1" outlineLevel="1">
      <c r="A27" s="275"/>
      <c r="B27" s="276"/>
      <c r="C27" s="326" t="s">
        <v>52</v>
      </c>
      <c r="D27" s="327">
        <f t="shared" si="0"/>
        <v>0</v>
      </c>
      <c r="E27" s="231">
        <f>IF('Входящие данные'!$E$27=0,0,Кредитование!$D8)</f>
        <v>0</v>
      </c>
      <c r="F27" s="231">
        <f>IF('Входящие данные'!$E$27=0,0,Кредитование!$D8)</f>
        <v>0</v>
      </c>
      <c r="G27" s="231">
        <f>IF('Входящие данные'!$E$27=0,0,Кредитование!$D8)</f>
        <v>0</v>
      </c>
      <c r="H27" s="231">
        <f>IF('Входящие данные'!$E$27=0,0,Кредитование!$D8)</f>
        <v>0</v>
      </c>
      <c r="I27" s="231">
        <f>IF('Входящие данные'!$E$27=0,0,Кредитование!$D8)</f>
        <v>0</v>
      </c>
      <c r="J27" s="231">
        <f>IF('Входящие данные'!$E$27=0,0,Кредитование!$D8)</f>
        <v>0</v>
      </c>
      <c r="K27" s="231">
        <f>IF('Входящие данные'!$E$27=0,0,Кредитование!$D8)</f>
        <v>0</v>
      </c>
      <c r="L27" s="231">
        <f>IF('Входящие данные'!$E$27=0,0,Кредитование!$D8)</f>
        <v>0</v>
      </c>
      <c r="M27" s="231">
        <f>IF('Входящие данные'!$E$27=0,0,Кредитование!$D8)</f>
        <v>0</v>
      </c>
      <c r="N27" s="231">
        <f>IF('Входящие данные'!$E$27=0,0,Кредитование!$D8)</f>
        <v>0</v>
      </c>
      <c r="O27" s="231">
        <f>IF('Входящие данные'!$E$27=0,0,Кредитование!$D8)</f>
        <v>0</v>
      </c>
      <c r="P27" s="231">
        <f>IF('Входящие данные'!$E$27=0,0,Кредитование!$D8)</f>
        <v>0</v>
      </c>
      <c r="Q27" s="231">
        <f>IF('Входящие данные'!$E$27=0,0,Кредитование!$D8)</f>
        <v>0</v>
      </c>
      <c r="R27" s="231">
        <f>IF('Входящие данные'!$E$27=0,0,Кредитование!$D8)</f>
        <v>0</v>
      </c>
      <c r="S27" s="231">
        <f>IF('Входящие данные'!$E$27=0,0,Кредитование!$D8)</f>
        <v>0</v>
      </c>
      <c r="T27" s="231">
        <f>IF('Входящие данные'!$E$27=0,0,Кредитование!$D8)</f>
        <v>0</v>
      </c>
      <c r="U27" s="231">
        <f>IF('Входящие данные'!$E$27=0,0,Кредитование!$D8)</f>
        <v>0</v>
      </c>
      <c r="V27" s="231">
        <f>IF('Входящие данные'!$E$27=0,0,Кредитование!$D8)</f>
        <v>0</v>
      </c>
      <c r="W27" s="231">
        <f>IF('Входящие данные'!$E$27=0,0,Кредитование!$D8)</f>
        <v>0</v>
      </c>
      <c r="X27" s="231">
        <f>IF('Входящие данные'!$E$27=0,0,Кредитование!$D8)</f>
        <v>0</v>
      </c>
      <c r="Y27" s="231">
        <f>IF('Входящие данные'!$E$27=0,0,Кредитование!$D8)</f>
        <v>0</v>
      </c>
      <c r="Z27" s="231">
        <f>IF('Входящие данные'!$E$27=0,0,Кредитование!$D8)</f>
        <v>0</v>
      </c>
      <c r="AA27" s="231">
        <f>IF('Входящие данные'!$E$27=0,0,Кредитование!$D8)</f>
        <v>0</v>
      </c>
      <c r="AB27" s="231">
        <f>IF('Входящие данные'!$E$27=0,0,Кредитование!$D8)</f>
        <v>0</v>
      </c>
      <c r="AC27" s="231">
        <f>IF('Входящие данные'!$E$27=0,0,Кредитование!$D8)</f>
        <v>0</v>
      </c>
      <c r="AD27" s="231">
        <f>IF('Входящие данные'!$E$27=0,0,Кредитование!$D8)</f>
        <v>0</v>
      </c>
      <c r="AE27" s="231">
        <f>IF('Входящие данные'!$E$27=0,0,Кредитование!$D8)</f>
        <v>0</v>
      </c>
      <c r="AF27" s="231">
        <f>IF('Входящие данные'!$E$27=0,0,Кредитование!$D8)</f>
        <v>0</v>
      </c>
      <c r="AG27" s="231">
        <f>IF('Входящие данные'!$E$27=0,0,Кредитование!$D8)</f>
        <v>0</v>
      </c>
      <c r="AH27" s="231">
        <f>IF('Входящие данные'!$E$27=0,0,Кредитование!$D8)</f>
        <v>0</v>
      </c>
      <c r="AI27" s="231">
        <f>IF('Входящие данные'!$E$27=0,0,Кредитование!$D8)</f>
        <v>0</v>
      </c>
      <c r="AJ27" s="231">
        <f>IF('Входящие данные'!$E$27=0,0,Кредитование!$D8)</f>
        <v>0</v>
      </c>
      <c r="AK27" s="231">
        <f>IF('Входящие данные'!$E$27=0,0,Кредитование!$D8)</f>
        <v>0</v>
      </c>
      <c r="AL27" s="231">
        <f>IF('Входящие данные'!$E$27=0,0,Кредитование!$D8)</f>
        <v>0</v>
      </c>
      <c r="AM27" s="231">
        <f>IF('Входящие данные'!$E$27=0,0,Кредитование!$D8)</f>
        <v>0</v>
      </c>
      <c r="AN27" s="231">
        <f>IF('Входящие данные'!$E$27=0,0,Кредитование!$D8)</f>
        <v>0</v>
      </c>
      <c r="AO27" s="328"/>
      <c r="AP27" s="275"/>
      <c r="AQ27" s="275"/>
    </row>
    <row r="28" spans="1:43" s="119" customFormat="1" ht="17.25" customHeight="1" outlineLevel="1">
      <c r="A28" s="275"/>
      <c r="B28" s="276"/>
      <c r="C28" s="326" t="s">
        <v>128</v>
      </c>
      <c r="D28" s="327">
        <f t="shared" si="0"/>
        <v>2216473.4078838141</v>
      </c>
      <c r="E28" s="231">
        <f>SUM('Ежемесячные затраты'!$G$32:$G$35)+'Ежемесячные затраты'!$E$36*Прибыль_окупаемость!E20</f>
        <v>53889.3</v>
      </c>
      <c r="F28" s="231">
        <f>SUM('Ежемесячные затраты'!$G$32:$G$35)+'Ежемесячные затраты'!$E$36*Прибыль_окупаемость!F20</f>
        <v>54333.764999999999</v>
      </c>
      <c r="G28" s="231">
        <f>SUM('Ежемесячные затраты'!$G$32:$G$35)+'Ежемесячные затраты'!$E$36*Прибыль_окупаемость!G20</f>
        <v>54800.453250000006</v>
      </c>
      <c r="H28" s="231">
        <f>SUM('Ежемесячные затраты'!$G$32:$G$35)+'Ежемесячные затраты'!$E$36*Прибыль_окупаемость!H20</f>
        <v>55290.475912500006</v>
      </c>
      <c r="I28" s="231">
        <f>SUM('Ежемесячные затраты'!$G$32:$G$35)+'Ежемесячные затраты'!$E$36*Прибыль_окупаемость!I20</f>
        <v>55804.999708125004</v>
      </c>
      <c r="J28" s="231">
        <f>SUM('Ежемесячные затраты'!$G$32:$G$35)+'Ежемесячные затраты'!$E$36*Прибыль_окупаемость!J20</f>
        <v>56345.249693531252</v>
      </c>
      <c r="K28" s="231">
        <f>SUM('Ежемесячные затраты'!$G$32:$G$35)+'Ежемесячные затраты'!$E$36*Прибыль_окупаемость!K20</f>
        <v>56912.51217820782</v>
      </c>
      <c r="L28" s="231">
        <f>SUM('Ежемесячные затраты'!$G$32:$G$35)+'Ежемесячные затраты'!$E$36*Прибыль_окупаемость!L20</f>
        <v>57508.137787118212</v>
      </c>
      <c r="M28" s="231">
        <f>SUM('Ежемесячные затраты'!$G$32:$G$35)+'Ежемесячные затраты'!$E$36*Прибыль_окупаемость!M20</f>
        <v>58133.544676474121</v>
      </c>
      <c r="N28" s="231">
        <f>SUM('Ежемесячные затраты'!$G$32:$G$35)+'Ежемесячные затраты'!$E$36*Прибыль_окупаемость!N20</f>
        <v>58790.221910297827</v>
      </c>
      <c r="O28" s="231">
        <f>SUM('Ежемесячные затраты'!$G$32:$G$35)+'Ежемесячные затраты'!$E$36*Прибыль_окупаемость!O20</f>
        <v>59479.733005812719</v>
      </c>
      <c r="P28" s="231">
        <f>SUM('Ежемесячные затраты'!$G$32:$G$35)+'Ежемесячные затраты'!$E$36*Прибыль_окупаемость!P20</f>
        <v>60203.719656103356</v>
      </c>
      <c r="Q28" s="231">
        <f>SUM('Ежемесячные затраты'!$G$32:$G$35)+'Ежемесячные затраты'!$E$36*Прибыль_окупаемость!Q20</f>
        <v>60507.79404922542</v>
      </c>
      <c r="R28" s="231">
        <f>SUM('Ежемесячные затраты'!$G$32:$G$35)+'Ежемесячные затраты'!$E$36*Прибыль_окупаемость!R20</f>
        <v>60817.949930209928</v>
      </c>
      <c r="S28" s="231">
        <f>SUM('Ежемесячные затраты'!$G$32:$G$35)+'Ежемесячные затраты'!$E$36*Прибыль_окупаемость!S20</f>
        <v>61134.308928814127</v>
      </c>
      <c r="T28" s="231">
        <f>SUM('Ежемесячные затраты'!$G$32:$G$35)+'Ежемесячные затраты'!$E$36*Прибыль_окупаемость!T20</f>
        <v>61456.995107390409</v>
      </c>
      <c r="U28" s="231">
        <f>SUM('Ежемесячные затраты'!$G$32:$G$35)+'Ежемесячные затраты'!$E$36*Прибыль_окупаемость!U20</f>
        <v>61786.135009538222</v>
      </c>
      <c r="V28" s="231">
        <f>SUM('Ежемесячные затраты'!$G$32:$G$35)+'Ежемесячные затраты'!$E$36*Прибыль_окупаемость!V20</f>
        <v>62121.857709728982</v>
      </c>
      <c r="W28" s="231">
        <f>SUM('Ежемесячные затраты'!$G$32:$G$35)+'Ежемесячные затраты'!$E$36*Прибыль_окупаемость!W20</f>
        <v>62464.294863923569</v>
      </c>
      <c r="X28" s="231">
        <f>SUM('Ежемесячные затраты'!$G$32:$G$35)+'Ежемесячные затраты'!$E$36*Прибыль_окупаемость!X20</f>
        <v>62813.580761202036</v>
      </c>
      <c r="Y28" s="231">
        <f>SUM('Ежемесячные затраты'!$G$32:$G$35)+'Ежемесячные затраты'!$E$36*Прибыль_окупаемость!Y20</f>
        <v>63169.852376426075</v>
      </c>
      <c r="Z28" s="231">
        <f>SUM('Ежемесячные затраты'!$G$32:$G$35)+'Ежемесячные затраты'!$E$36*Прибыль_окупаемость!Z20</f>
        <v>63533.249423954592</v>
      </c>
      <c r="AA28" s="231">
        <f>SUM('Ежемесячные затраты'!$G$32:$G$35)+'Ежемесячные затраты'!$E$36*Прибыль_окупаемость!AA20</f>
        <v>63903.914412433689</v>
      </c>
      <c r="AB28" s="231">
        <f>SUM('Ежемесячные затраты'!$G$32:$G$35)+'Ежемесячные затраты'!$E$36*Прибыль_окупаемость!AB20</f>
        <v>64281.992700682364</v>
      </c>
      <c r="AC28" s="231">
        <f>SUM('Ежемесячные затраты'!$G$32:$G$35)+'Ежемесячные затраты'!$E$36*Прибыль_окупаемость!AC20</f>
        <v>64474.812627689193</v>
      </c>
      <c r="AD28" s="231">
        <f>SUM('Ежемесячные затраты'!$G$32:$G$35)+'Ежемесячные затраты'!$E$36*Прибыль_окупаемость!AD20</f>
        <v>64669.560753966085</v>
      </c>
      <c r="AE28" s="231">
        <f>SUM('Ежемесячные затраты'!$G$32:$G$35)+'Ежемесячные затраты'!$E$36*Прибыль_окупаемость!AE20</f>
        <v>64866.256361505744</v>
      </c>
      <c r="AF28" s="231">
        <f>SUM('Ежемесячные затраты'!$G$32:$G$35)+'Ежемесячные затраты'!$E$36*Прибыль_окупаемость!AF20</f>
        <v>65064.918925120801</v>
      </c>
      <c r="AG28" s="231">
        <f>SUM('Ежемесячные затраты'!$G$32:$G$35)+'Ежемесячные затраты'!$E$36*Прибыль_окупаемость!AG20</f>
        <v>65265.568114372007</v>
      </c>
      <c r="AH28" s="231">
        <f>SUM('Ежемесячные затраты'!$G$32:$G$35)+'Ежемесячные затраты'!$E$36*Прибыль_окупаемость!AH20</f>
        <v>65468.223795515732</v>
      </c>
      <c r="AI28" s="231">
        <f>SUM('Ежемесячные затраты'!$G$32:$G$35)+'Ежемесячные затраты'!$E$36*Прибыль_окупаемость!AI20</f>
        <v>65672.906033470877</v>
      </c>
      <c r="AJ28" s="231">
        <f>SUM('Ежемесячные затраты'!$G$32:$G$35)+'Ежемесячные затраты'!$E$36*Прибыль_окупаемость!AJ20</f>
        <v>65879.635093805598</v>
      </c>
      <c r="AK28" s="231">
        <f>SUM('Ежемесячные затраты'!$G$32:$G$35)+'Ежемесячные затраты'!$E$36*Прибыль_окупаемость!AK20</f>
        <v>66088.431444743648</v>
      </c>
      <c r="AL28" s="231">
        <f>SUM('Ежемесячные затраты'!$G$32:$G$35)+'Ежемесячные затраты'!$E$36*Прибыль_окупаемость!AL20</f>
        <v>66299.315759191086</v>
      </c>
      <c r="AM28" s="231">
        <f>SUM('Ежемесячные затраты'!$G$32:$G$35)+'Ежемесячные затраты'!$E$36*Прибыль_окупаемость!AM20</f>
        <v>66512.308916782989</v>
      </c>
      <c r="AN28" s="231">
        <f>SUM('Ежемесячные затраты'!$G$32:$G$35)+'Ежемесячные затраты'!$E$36*Прибыль_окупаемость!AN20</f>
        <v>66727.432005950832</v>
      </c>
      <c r="AO28" s="328"/>
      <c r="AP28" s="275"/>
      <c r="AQ28" s="275"/>
    </row>
    <row r="29" spans="1:43" s="119" customFormat="1" ht="17.25" customHeight="1">
      <c r="A29" s="275"/>
      <c r="B29" s="276"/>
      <c r="C29" s="323" t="s">
        <v>1</v>
      </c>
      <c r="D29" s="204">
        <f t="shared" ref="D29" si="2">SUM(E29:AN29)</f>
        <v>3200800</v>
      </c>
      <c r="E29" s="227">
        <f>'Инвестиции на орг-цию бизнеса'!G46</f>
        <v>3200800</v>
      </c>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328"/>
      <c r="AP29" s="275"/>
      <c r="AQ29" s="275"/>
    </row>
    <row r="30" spans="1:43" s="119" customFormat="1" ht="17.25" customHeight="1">
      <c r="A30" s="275"/>
      <c r="B30" s="276"/>
      <c r="C30" s="323" t="s">
        <v>10</v>
      </c>
      <c r="D30" s="204">
        <f>SUM(E30:AN30)</f>
        <v>31133105.599169888</v>
      </c>
      <c r="E30" s="227">
        <f t="shared" ref="E30:AN30" si="3">E21-E22</f>
        <v>281173.65000000026</v>
      </c>
      <c r="F30" s="227">
        <f t="shared" si="3"/>
        <v>314952.99000000046</v>
      </c>
      <c r="G30" s="227">
        <f t="shared" si="3"/>
        <v>350421.29700000002</v>
      </c>
      <c r="H30" s="227">
        <f t="shared" si="3"/>
        <v>387663.01935000008</v>
      </c>
      <c r="I30" s="227">
        <f t="shared" si="3"/>
        <v>426766.8278175001</v>
      </c>
      <c r="J30" s="227">
        <f t="shared" si="3"/>
        <v>467825.82670837524</v>
      </c>
      <c r="K30" s="227">
        <f t="shared" si="3"/>
        <v>510937.77554379427</v>
      </c>
      <c r="L30" s="227">
        <f t="shared" si="3"/>
        <v>556205.3218209839</v>
      </c>
      <c r="M30" s="227">
        <f t="shared" si="3"/>
        <v>603736.24541203305</v>
      </c>
      <c r="N30" s="227">
        <f t="shared" si="3"/>
        <v>653643.715182635</v>
      </c>
      <c r="O30" s="227">
        <f t="shared" si="3"/>
        <v>706046.55844176642</v>
      </c>
      <c r="P30" s="227">
        <f t="shared" si="3"/>
        <v>761069.54386385472</v>
      </c>
      <c r="Q30" s="227">
        <f t="shared" si="3"/>
        <v>784179.19774113211</v>
      </c>
      <c r="R30" s="227">
        <f t="shared" si="3"/>
        <v>807751.04469595442</v>
      </c>
      <c r="S30" s="227">
        <f t="shared" si="3"/>
        <v>831794.32858987362</v>
      </c>
      <c r="T30" s="227">
        <f t="shared" si="3"/>
        <v>856318.47816167155</v>
      </c>
      <c r="U30" s="227">
        <f t="shared" si="3"/>
        <v>881333.11072490457</v>
      </c>
      <c r="V30" s="227">
        <f t="shared" si="3"/>
        <v>906848.03593940265</v>
      </c>
      <c r="W30" s="227">
        <f t="shared" si="3"/>
        <v>932873.25965819135</v>
      </c>
      <c r="X30" s="227">
        <f t="shared" si="3"/>
        <v>959418.98785135453</v>
      </c>
      <c r="Y30" s="227">
        <f t="shared" si="3"/>
        <v>986495.63060838159</v>
      </c>
      <c r="Z30" s="227">
        <f t="shared" si="3"/>
        <v>1014113.806220549</v>
      </c>
      <c r="AA30" s="227">
        <f t="shared" si="3"/>
        <v>1042284.3453449612</v>
      </c>
      <c r="AB30" s="227">
        <f t="shared" si="3"/>
        <v>1071018.2952518603</v>
      </c>
      <c r="AC30" s="227">
        <f t="shared" si="3"/>
        <v>1085672.6097043776</v>
      </c>
      <c r="AD30" s="227">
        <f t="shared" si="3"/>
        <v>1100473.467301422</v>
      </c>
      <c r="AE30" s="227">
        <f t="shared" si="3"/>
        <v>1115422.3334744363</v>
      </c>
      <c r="AF30" s="227">
        <f t="shared" si="3"/>
        <v>1130520.6883091806</v>
      </c>
      <c r="AG30" s="227">
        <f t="shared" si="3"/>
        <v>1145770.0266922726</v>
      </c>
      <c r="AH30" s="227">
        <f t="shared" si="3"/>
        <v>1161171.8584591954</v>
      </c>
      <c r="AI30" s="227">
        <f t="shared" si="3"/>
        <v>1176727.7085437872</v>
      </c>
      <c r="AJ30" s="227">
        <f t="shared" si="3"/>
        <v>1192439.1171292253</v>
      </c>
      <c r="AK30" s="227">
        <f t="shared" si="3"/>
        <v>1208307.6398005178</v>
      </c>
      <c r="AL30" s="227">
        <f t="shared" si="3"/>
        <v>1224334.8476985223</v>
      </c>
      <c r="AM30" s="227">
        <f t="shared" si="3"/>
        <v>1240522.3276755079</v>
      </c>
      <c r="AN30" s="227">
        <f t="shared" si="3"/>
        <v>1256871.6824522628</v>
      </c>
      <c r="AO30" s="328"/>
      <c r="AP30" s="275"/>
      <c r="AQ30" s="275"/>
    </row>
    <row r="31" spans="1:43" s="119" customFormat="1" ht="17.25" customHeight="1">
      <c r="A31" s="275"/>
      <c r="B31" s="276"/>
      <c r="C31" s="326" t="s">
        <v>11</v>
      </c>
      <c r="D31" s="327"/>
      <c r="E31" s="231">
        <f>E30</f>
        <v>281173.65000000026</v>
      </c>
      <c r="F31" s="231">
        <f t="shared" ref="F31:AN31" si="4">E31+F30</f>
        <v>596126.64000000071</v>
      </c>
      <c r="G31" s="231">
        <f t="shared" si="4"/>
        <v>946547.93700000073</v>
      </c>
      <c r="H31" s="231">
        <f t="shared" si="4"/>
        <v>1334210.9563500008</v>
      </c>
      <c r="I31" s="231">
        <f t="shared" si="4"/>
        <v>1760977.7841675009</v>
      </c>
      <c r="J31" s="231">
        <f t="shared" si="4"/>
        <v>2228803.6108758762</v>
      </c>
      <c r="K31" s="231">
        <f t="shared" si="4"/>
        <v>2739741.3864196707</v>
      </c>
      <c r="L31" s="231">
        <f t="shared" si="4"/>
        <v>3295946.7082406543</v>
      </c>
      <c r="M31" s="231">
        <f t="shared" si="4"/>
        <v>3899682.9536526874</v>
      </c>
      <c r="N31" s="231">
        <f t="shared" si="4"/>
        <v>4553326.6688353224</v>
      </c>
      <c r="O31" s="231">
        <f t="shared" si="4"/>
        <v>5259373.2272770889</v>
      </c>
      <c r="P31" s="231">
        <f t="shared" si="4"/>
        <v>6020442.7711409433</v>
      </c>
      <c r="Q31" s="231">
        <f t="shared" si="4"/>
        <v>6804621.9688820755</v>
      </c>
      <c r="R31" s="231">
        <f t="shared" si="4"/>
        <v>7612373.0135780303</v>
      </c>
      <c r="S31" s="231">
        <f t="shared" si="4"/>
        <v>8444167.3421679046</v>
      </c>
      <c r="T31" s="231">
        <f t="shared" si="4"/>
        <v>9300485.8203295767</v>
      </c>
      <c r="U31" s="231">
        <f t="shared" si="4"/>
        <v>10181818.93105448</v>
      </c>
      <c r="V31" s="231">
        <f t="shared" si="4"/>
        <v>11088666.966993883</v>
      </c>
      <c r="W31" s="231">
        <f t="shared" si="4"/>
        <v>12021540.226652075</v>
      </c>
      <c r="X31" s="231">
        <f t="shared" si="4"/>
        <v>12980959.21450343</v>
      </c>
      <c r="Y31" s="231">
        <f t="shared" si="4"/>
        <v>13967454.845111812</v>
      </c>
      <c r="Z31" s="231">
        <f t="shared" si="4"/>
        <v>14981568.65133236</v>
      </c>
      <c r="AA31" s="231">
        <f t="shared" si="4"/>
        <v>16023852.99667732</v>
      </c>
      <c r="AB31" s="231">
        <f t="shared" si="4"/>
        <v>17094871.291929182</v>
      </c>
      <c r="AC31" s="231">
        <f t="shared" si="4"/>
        <v>18180543.901633561</v>
      </c>
      <c r="AD31" s="231">
        <f t="shared" si="4"/>
        <v>19281017.368934982</v>
      </c>
      <c r="AE31" s="231">
        <f t="shared" si="4"/>
        <v>20396439.702409416</v>
      </c>
      <c r="AF31" s="231">
        <f t="shared" si="4"/>
        <v>21526960.390718598</v>
      </c>
      <c r="AG31" s="231">
        <f t="shared" si="4"/>
        <v>22672730.417410869</v>
      </c>
      <c r="AH31" s="231">
        <f t="shared" si="4"/>
        <v>23833902.275870066</v>
      </c>
      <c r="AI31" s="231">
        <f t="shared" si="4"/>
        <v>25010629.984413855</v>
      </c>
      <c r="AJ31" s="231">
        <f t="shared" si="4"/>
        <v>26203069.10154308</v>
      </c>
      <c r="AK31" s="231">
        <f t="shared" si="4"/>
        <v>27411376.741343599</v>
      </c>
      <c r="AL31" s="231">
        <f t="shared" si="4"/>
        <v>28635711.58904212</v>
      </c>
      <c r="AM31" s="231">
        <f t="shared" si="4"/>
        <v>29876233.916717626</v>
      </c>
      <c r="AN31" s="231">
        <f t="shared" si="4"/>
        <v>31133105.599169888</v>
      </c>
      <c r="AO31" s="325"/>
      <c r="AP31" s="275"/>
      <c r="AQ31" s="275"/>
    </row>
    <row r="32" spans="1:43" s="119" customFormat="1" ht="17.25" customHeight="1">
      <c r="A32" s="275"/>
      <c r="B32" s="276"/>
      <c r="C32" s="323" t="s">
        <v>9</v>
      </c>
      <c r="D32" s="231"/>
      <c r="E32" s="227">
        <f>E31-E29</f>
        <v>-2919626.3499999996</v>
      </c>
      <c r="F32" s="227">
        <f t="shared" ref="F32:AN32" si="5">E32+F30</f>
        <v>-2604673.3599999994</v>
      </c>
      <c r="G32" s="227">
        <f t="shared" si="5"/>
        <v>-2254252.0629999992</v>
      </c>
      <c r="H32" s="227">
        <f t="shared" si="5"/>
        <v>-1866589.043649999</v>
      </c>
      <c r="I32" s="227">
        <f t="shared" si="5"/>
        <v>-1439822.2158324989</v>
      </c>
      <c r="J32" s="227">
        <f t="shared" si="5"/>
        <v>-971996.38912412361</v>
      </c>
      <c r="K32" s="227">
        <f t="shared" si="5"/>
        <v>-461058.61358032934</v>
      </c>
      <c r="L32" s="227">
        <f t="shared" si="5"/>
        <v>95146.708240654552</v>
      </c>
      <c r="M32" s="227">
        <f t="shared" si="5"/>
        <v>698882.9536526876</v>
      </c>
      <c r="N32" s="227">
        <f t="shared" si="5"/>
        <v>1352526.6688353226</v>
      </c>
      <c r="O32" s="227">
        <f t="shared" si="5"/>
        <v>2058573.2272770889</v>
      </c>
      <c r="P32" s="227">
        <f t="shared" si="5"/>
        <v>2819642.7711409437</v>
      </c>
      <c r="Q32" s="227">
        <f t="shared" si="5"/>
        <v>3603821.968882076</v>
      </c>
      <c r="R32" s="227">
        <f t="shared" si="5"/>
        <v>4411573.0135780303</v>
      </c>
      <c r="S32" s="227">
        <f t="shared" si="5"/>
        <v>5243367.3421679037</v>
      </c>
      <c r="T32" s="227">
        <f t="shared" si="5"/>
        <v>6099685.8203295749</v>
      </c>
      <c r="U32" s="227">
        <f t="shared" si="5"/>
        <v>6981018.9310544794</v>
      </c>
      <c r="V32" s="227">
        <f t="shared" si="5"/>
        <v>7887866.9669938823</v>
      </c>
      <c r="W32" s="227">
        <f t="shared" si="5"/>
        <v>8820740.2266520746</v>
      </c>
      <c r="X32" s="227">
        <f t="shared" si="5"/>
        <v>9780159.2145034298</v>
      </c>
      <c r="Y32" s="227">
        <f t="shared" si="5"/>
        <v>10766654.845111812</v>
      </c>
      <c r="Z32" s="227">
        <f t="shared" si="5"/>
        <v>11780768.65133236</v>
      </c>
      <c r="AA32" s="227">
        <f t="shared" si="5"/>
        <v>12823052.99667732</v>
      </c>
      <c r="AB32" s="227">
        <f t="shared" si="5"/>
        <v>13894071.291929182</v>
      </c>
      <c r="AC32" s="227">
        <f t="shared" si="5"/>
        <v>14979743.901633559</v>
      </c>
      <c r="AD32" s="227">
        <f t="shared" si="5"/>
        <v>16080217.368934982</v>
      </c>
      <c r="AE32" s="227">
        <f t="shared" si="5"/>
        <v>17195639.702409416</v>
      </c>
      <c r="AF32" s="227">
        <f t="shared" si="5"/>
        <v>18326160.390718598</v>
      </c>
      <c r="AG32" s="227">
        <f t="shared" si="5"/>
        <v>19471930.417410869</v>
      </c>
      <c r="AH32" s="227">
        <f t="shared" si="5"/>
        <v>20633102.275870066</v>
      </c>
      <c r="AI32" s="227">
        <f t="shared" si="5"/>
        <v>21809829.984413855</v>
      </c>
      <c r="AJ32" s="227">
        <f t="shared" si="5"/>
        <v>23002269.10154308</v>
      </c>
      <c r="AK32" s="227">
        <f t="shared" si="5"/>
        <v>24210576.741343599</v>
      </c>
      <c r="AL32" s="227">
        <f t="shared" si="5"/>
        <v>25434911.58904212</v>
      </c>
      <c r="AM32" s="227">
        <f t="shared" si="5"/>
        <v>26675433.916717626</v>
      </c>
      <c r="AN32" s="227">
        <f t="shared" si="5"/>
        <v>27932305.599169888</v>
      </c>
      <c r="AO32" s="329"/>
      <c r="AP32" s="275"/>
      <c r="AQ32" s="275"/>
    </row>
    <row r="33" spans="1:43" s="119" customFormat="1" ht="17.25" customHeight="1">
      <c r="A33" s="275"/>
      <c r="B33" s="276"/>
      <c r="C33" s="323" t="s">
        <v>2</v>
      </c>
      <c r="D33" s="327"/>
      <c r="E33" s="330" t="str">
        <f>IF(E32&lt;0,"",E19)</f>
        <v/>
      </c>
      <c r="F33" s="330" t="str">
        <f t="shared" ref="F33:AN33" si="6">IF(F32&lt;0,"",IF(E32&gt;0,"",F19))</f>
        <v/>
      </c>
      <c r="G33" s="330" t="str">
        <f t="shared" si="6"/>
        <v/>
      </c>
      <c r="H33" s="330" t="str">
        <f t="shared" si="6"/>
        <v/>
      </c>
      <c r="I33" s="330" t="str">
        <f t="shared" si="6"/>
        <v/>
      </c>
      <c r="J33" s="330" t="str">
        <f t="shared" si="6"/>
        <v/>
      </c>
      <c r="K33" s="330" t="str">
        <f t="shared" si="6"/>
        <v/>
      </c>
      <c r="L33" s="330">
        <f t="shared" si="6"/>
        <v>8</v>
      </c>
      <c r="M33" s="330" t="str">
        <f t="shared" si="6"/>
        <v/>
      </c>
      <c r="N33" s="330" t="str">
        <f t="shared" si="6"/>
        <v/>
      </c>
      <c r="O33" s="330" t="str">
        <f t="shared" si="6"/>
        <v/>
      </c>
      <c r="P33" s="330" t="str">
        <f t="shared" si="6"/>
        <v/>
      </c>
      <c r="Q33" s="330" t="str">
        <f t="shared" si="6"/>
        <v/>
      </c>
      <c r="R33" s="330" t="str">
        <f t="shared" si="6"/>
        <v/>
      </c>
      <c r="S33" s="330" t="str">
        <f t="shared" si="6"/>
        <v/>
      </c>
      <c r="T33" s="330" t="str">
        <f t="shared" si="6"/>
        <v/>
      </c>
      <c r="U33" s="330" t="str">
        <f t="shared" si="6"/>
        <v/>
      </c>
      <c r="V33" s="330" t="str">
        <f t="shared" si="6"/>
        <v/>
      </c>
      <c r="W33" s="330" t="str">
        <f t="shared" si="6"/>
        <v/>
      </c>
      <c r="X33" s="330" t="str">
        <f t="shared" si="6"/>
        <v/>
      </c>
      <c r="Y33" s="330" t="str">
        <f t="shared" si="6"/>
        <v/>
      </c>
      <c r="Z33" s="330" t="str">
        <f t="shared" si="6"/>
        <v/>
      </c>
      <c r="AA33" s="330" t="str">
        <f t="shared" si="6"/>
        <v/>
      </c>
      <c r="AB33" s="330" t="str">
        <f t="shared" si="6"/>
        <v/>
      </c>
      <c r="AC33" s="330" t="str">
        <f t="shared" si="6"/>
        <v/>
      </c>
      <c r="AD33" s="330" t="str">
        <f t="shared" si="6"/>
        <v/>
      </c>
      <c r="AE33" s="330" t="str">
        <f t="shared" si="6"/>
        <v/>
      </c>
      <c r="AF33" s="330" t="str">
        <f t="shared" si="6"/>
        <v/>
      </c>
      <c r="AG33" s="330" t="str">
        <f t="shared" si="6"/>
        <v/>
      </c>
      <c r="AH33" s="330" t="str">
        <f t="shared" si="6"/>
        <v/>
      </c>
      <c r="AI33" s="330" t="str">
        <f t="shared" si="6"/>
        <v/>
      </c>
      <c r="AJ33" s="330" t="str">
        <f t="shared" si="6"/>
        <v/>
      </c>
      <c r="AK33" s="330" t="str">
        <f t="shared" si="6"/>
        <v/>
      </c>
      <c r="AL33" s="330" t="str">
        <f t="shared" si="6"/>
        <v/>
      </c>
      <c r="AM33" s="330" t="str">
        <f t="shared" si="6"/>
        <v/>
      </c>
      <c r="AN33" s="330" t="str">
        <f t="shared" si="6"/>
        <v/>
      </c>
      <c r="AO33" s="331"/>
      <c r="AP33" s="275"/>
      <c r="AQ33" s="275"/>
    </row>
    <row r="34" spans="1:43" s="302" customFormat="1" ht="17.25" hidden="1" customHeight="1" outlineLevel="1">
      <c r="A34" s="332"/>
      <c r="B34" s="333"/>
      <c r="C34" s="334" t="s">
        <v>71</v>
      </c>
      <c r="D34" s="335"/>
      <c r="E34" s="336">
        <f>E30/(1+Прибыль_окупаемость!$F$45/100)^(E19/12)</f>
        <v>281148.71022335679</v>
      </c>
      <c r="F34" s="336">
        <f>F30/(1+Прибыль_окупаемость!$F$45/100)^(F19/12)</f>
        <v>314897.12054804119</v>
      </c>
      <c r="G34" s="336">
        <f>G30/(1+Прибыль_окупаемость!$F$45/100)^(G19/12)</f>
        <v>350328.05938270531</v>
      </c>
      <c r="H34" s="336">
        <f>H30/(1+Прибыль_окупаемость!$F$45/100)^(H19/12)</f>
        <v>387525.49660772982</v>
      </c>
      <c r="I34" s="336">
        <f>I30/(1+Прибыль_окупаемость!$F$45/100)^(I19/12)</f>
        <v>426577.59277706651</v>
      </c>
      <c r="J34" s="336">
        <f>J30/(1+Прибыль_окупаемость!$F$45/100)^(J19/12)</f>
        <v>467576.90826162609</v>
      </c>
      <c r="K34" s="336">
        <f>K30/(1+Прибыль_окупаемость!$F$45/100)^(K19/12)</f>
        <v>510620.62283035327</v>
      </c>
      <c r="L34" s="336">
        <f>L30/(1+Прибыль_окупаемость!$F$45/100)^(L19/12)</f>
        <v>555810.7661899064</v>
      </c>
      <c r="M34" s="336">
        <f>M30/(1+Прибыль_окупаемость!$F$45/100)^(M19/12)</f>
        <v>603254.46002985095</v>
      </c>
      <c r="N34" s="336">
        <f>N30/(1+Прибыль_окупаемость!$F$45/100)^(N19/12)</f>
        <v>653064.17214756971</v>
      </c>
      <c r="O34" s="336">
        <f>O30/(1+Прибыль_окупаемость!$F$45/100)^(O19/12)</f>
        <v>705357.98325574712</v>
      </c>
      <c r="P34" s="336">
        <f>P30/(1+Прибыль_окупаемость!$F$45/100)^(P19/12)</f>
        <v>760259.86710538738</v>
      </c>
      <c r="Q34" s="336">
        <f>Q30/(1+Прибыль_окупаемость!$F$45/100)^(Q19/12)</f>
        <v>783275.45359771932</v>
      </c>
      <c r="R34" s="336">
        <f>R30/(1+Прибыль_окупаемость!$F$45/100)^(R19/12)</f>
        <v>806748.5706615349</v>
      </c>
      <c r="S34" s="336">
        <f>S30/(1+Прибыль_окупаемость!$F$45/100)^(S19/12)</f>
        <v>830688.32757617405</v>
      </c>
      <c r="T34" s="336">
        <f>T30/(1+Прибыль_окупаемость!$F$45/100)^(T19/12)</f>
        <v>855104.01498241536</v>
      </c>
      <c r="U34" s="336">
        <f>U30/(1+Прибыль_окупаемость!$F$45/100)^(U19/12)</f>
        <v>880005.10849329573</v>
      </c>
      <c r="V34" s="336">
        <f>V30/(1+Прибыль_окупаемость!$F$45/100)^(V19/12)</f>
        <v>905401.27237682382</v>
      </c>
      <c r="W34" s="336">
        <f>W30/(1+Прибыль_окупаемость!$F$45/100)^(W19/12)</f>
        <v>931302.36331200961</v>
      </c>
      <c r="X34" s="336">
        <f>X30/(1+Прибыль_окупаемость!$F$45/100)^(X19/12)</f>
        <v>957718.43421967281</v>
      </c>
      <c r="Y34" s="336">
        <f>Y30/(1+Прибыль_окупаемость!$F$45/100)^(Y19/12)</f>
        <v>984659.73816953262</v>
      </c>
      <c r="Z34" s="336">
        <f>Z30/(1+Прибыль_окупаемость!$F$45/100)^(Z19/12)</f>
        <v>1012136.7323650701</v>
      </c>
      <c r="AA34" s="336">
        <f>AA30/(1+Прибыль_окупаемость!$F$45/100)^(AA19/12)</f>
        <v>1040160.0822077396</v>
      </c>
      <c r="AB34" s="336">
        <f>AB30/(1+Прибыль_окупаемость!$F$45/100)^(AB19/12)</f>
        <v>1068740.6654420872</v>
      </c>
      <c r="AC34" s="336">
        <f>AC30/(1+Прибыль_окупаемость!$F$45/100)^(AC19/12)</f>
        <v>1083267.7228840082</v>
      </c>
      <c r="AD34" s="336">
        <f>AD30/(1+Прибыль_окупаемость!$F$45/100)^(AD19/12)</f>
        <v>1097938.4004169174</v>
      </c>
      <c r="AE34" s="336">
        <f>AE30/(1+Прибыль_окупаемость!$F$45/100)^(AE19/12)</f>
        <v>1112754.1214063596</v>
      </c>
      <c r="AF34" s="336">
        <f>AF30/(1+Прибыль_окупаемость!$F$45/100)^(AF19/12)</f>
        <v>1127716.3233240207</v>
      </c>
      <c r="AG34" s="336">
        <f>AG30/(1+Прибыль_окупаемость!$F$45/100)^(AG19/12)</f>
        <v>1142826.4578875245</v>
      </c>
      <c r="AH34" s="336">
        <f>AH30/(1+Прибыль_окупаемость!$F$45/100)^(AH19/12)</f>
        <v>1158085.9912016133</v>
      </c>
      <c r="AI34" s="336">
        <f>AI30/(1+Прибыль_окупаемость!$F$45/100)^(AI19/12)</f>
        <v>1173496.4039007337</v>
      </c>
      <c r="AJ34" s="336">
        <f>AJ30/(1+Прибыль_окупаемость!$F$45/100)^(AJ19/12)</f>
        <v>1189059.1912930284</v>
      </c>
      <c r="AK34" s="336">
        <f>AK30/(1+Прибыль_окупаемость!$F$45/100)^(AK19/12)</f>
        <v>1204775.8635057621</v>
      </c>
      <c r="AL34" s="336">
        <f>AL30/(1+Прибыль_окупаемость!$F$45/100)^(AL19/12)</f>
        <v>1220647.9456321807</v>
      </c>
      <c r="AM34" s="336">
        <f>AM30/(1+Прибыль_окупаемость!$F$45/100)^(AM19/12)</f>
        <v>1236676.9778798372</v>
      </c>
      <c r="AN34" s="336">
        <f>AN30/(1+Прибыль_окупаемость!$F$45/100)^(AN19/12)</f>
        <v>1252864.5157203728</v>
      </c>
      <c r="AO34" s="337"/>
      <c r="AP34" s="332"/>
      <c r="AQ34" s="332"/>
    </row>
    <row r="35" spans="1:43" s="302" customFormat="1" ht="17.25" hidden="1" customHeight="1" outlineLevel="1">
      <c r="A35" s="332"/>
      <c r="B35" s="333"/>
      <c r="C35" s="334"/>
      <c r="D35" s="335">
        <f>SUM(E34:AN34)</f>
        <v>31072472.437815774</v>
      </c>
      <c r="E35" s="336">
        <f>-E29+E34</f>
        <v>-2919651.2897766433</v>
      </c>
      <c r="F35" s="336">
        <f>E35+F34</f>
        <v>-2604754.1692286022</v>
      </c>
      <c r="G35" s="336">
        <f>F35+G34</f>
        <v>-2254426.1098458967</v>
      </c>
      <c r="H35" s="336">
        <f>G35+H34</f>
        <v>-1866900.613238167</v>
      </c>
      <c r="I35" s="336">
        <f t="shared" ref="I35:AA35" si="7">H35+I34</f>
        <v>-1440323.0204611006</v>
      </c>
      <c r="J35" s="336">
        <f t="shared" si="7"/>
        <v>-972746.11219947459</v>
      </c>
      <c r="K35" s="336">
        <f t="shared" si="7"/>
        <v>-462125.48936912132</v>
      </c>
      <c r="L35" s="336">
        <f t="shared" si="7"/>
        <v>93685.276820785075</v>
      </c>
      <c r="M35" s="336">
        <f t="shared" si="7"/>
        <v>696939.73685063608</v>
      </c>
      <c r="N35" s="336">
        <f t="shared" si="7"/>
        <v>1350003.9089982058</v>
      </c>
      <c r="O35" s="336">
        <f t="shared" si="7"/>
        <v>2055361.892253953</v>
      </c>
      <c r="P35" s="336">
        <f>O35+P34</f>
        <v>2815621.7593593402</v>
      </c>
      <c r="Q35" s="336">
        <f t="shared" si="7"/>
        <v>3598897.2129570595</v>
      </c>
      <c r="R35" s="336">
        <f t="shared" si="7"/>
        <v>4405645.7836185945</v>
      </c>
      <c r="S35" s="336">
        <f t="shared" si="7"/>
        <v>5236334.1111947689</v>
      </c>
      <c r="T35" s="336">
        <f t="shared" si="7"/>
        <v>6091438.1261771843</v>
      </c>
      <c r="U35" s="336">
        <f t="shared" si="7"/>
        <v>6971443.2346704798</v>
      </c>
      <c r="V35" s="336">
        <f t="shared" si="7"/>
        <v>7876844.507047304</v>
      </c>
      <c r="W35" s="336">
        <f t="shared" si="7"/>
        <v>8808146.8703593127</v>
      </c>
      <c r="X35" s="336">
        <f t="shared" si="7"/>
        <v>9765865.304578986</v>
      </c>
      <c r="Y35" s="336">
        <f t="shared" si="7"/>
        <v>10750525.042748518</v>
      </c>
      <c r="Z35" s="336">
        <f t="shared" si="7"/>
        <v>11762661.775113588</v>
      </c>
      <c r="AA35" s="336">
        <f t="shared" si="7"/>
        <v>12802821.857321328</v>
      </c>
      <c r="AB35" s="336">
        <f t="shared" ref="AB35:AN35" si="8">AA35+AB34</f>
        <v>13871562.522763414</v>
      </c>
      <c r="AC35" s="336">
        <f t="shared" si="8"/>
        <v>14954830.245647423</v>
      </c>
      <c r="AD35" s="336">
        <f t="shared" si="8"/>
        <v>16052768.646064341</v>
      </c>
      <c r="AE35" s="336">
        <f t="shared" si="8"/>
        <v>17165522.767470703</v>
      </c>
      <c r="AF35" s="336">
        <f t="shared" si="8"/>
        <v>18293239.090794723</v>
      </c>
      <c r="AG35" s="336">
        <f t="shared" si="8"/>
        <v>19436065.548682246</v>
      </c>
      <c r="AH35" s="336">
        <f t="shared" si="8"/>
        <v>20594151.539883859</v>
      </c>
      <c r="AI35" s="336">
        <f t="shared" si="8"/>
        <v>21767647.943784595</v>
      </c>
      <c r="AJ35" s="336">
        <f t="shared" si="8"/>
        <v>22956707.135077622</v>
      </c>
      <c r="AK35" s="336">
        <f t="shared" si="8"/>
        <v>24161482.998583384</v>
      </c>
      <c r="AL35" s="336">
        <f t="shared" si="8"/>
        <v>25382130.944215566</v>
      </c>
      <c r="AM35" s="336">
        <f t="shared" si="8"/>
        <v>26618807.922095403</v>
      </c>
      <c r="AN35" s="336">
        <f t="shared" si="8"/>
        <v>27871672.437815774</v>
      </c>
      <c r="AO35" s="337"/>
      <c r="AP35" s="332"/>
      <c r="AQ35" s="332"/>
    </row>
    <row r="36" spans="1:43" s="302" customFormat="1" ht="17.25" hidden="1" customHeight="1" outlineLevel="1">
      <c r="A36" s="332"/>
      <c r="B36" s="333"/>
      <c r="C36" s="334" t="s">
        <v>29</v>
      </c>
      <c r="D36" s="335"/>
      <c r="E36" s="336" t="str">
        <f>IF(E35&lt;0,"",E19)</f>
        <v/>
      </c>
      <c r="F36" s="336" t="str">
        <f t="shared" ref="F36:AN36" si="9">IF(F35&lt;0,"",IF(E35&gt;0,"",F19))</f>
        <v/>
      </c>
      <c r="G36" s="336" t="str">
        <f t="shared" si="9"/>
        <v/>
      </c>
      <c r="H36" s="336" t="str">
        <f t="shared" si="9"/>
        <v/>
      </c>
      <c r="I36" s="336" t="str">
        <f t="shared" si="9"/>
        <v/>
      </c>
      <c r="J36" s="336" t="str">
        <f t="shared" si="9"/>
        <v/>
      </c>
      <c r="K36" s="336" t="str">
        <f t="shared" si="9"/>
        <v/>
      </c>
      <c r="L36" s="336">
        <f t="shared" si="9"/>
        <v>8</v>
      </c>
      <c r="M36" s="336" t="str">
        <f t="shared" si="9"/>
        <v/>
      </c>
      <c r="N36" s="336" t="str">
        <f t="shared" si="9"/>
        <v/>
      </c>
      <c r="O36" s="336" t="str">
        <f t="shared" si="9"/>
        <v/>
      </c>
      <c r="P36" s="336" t="str">
        <f t="shared" si="9"/>
        <v/>
      </c>
      <c r="Q36" s="336" t="str">
        <f t="shared" si="9"/>
        <v/>
      </c>
      <c r="R36" s="336" t="str">
        <f t="shared" si="9"/>
        <v/>
      </c>
      <c r="S36" s="336" t="str">
        <f t="shared" si="9"/>
        <v/>
      </c>
      <c r="T36" s="336" t="str">
        <f t="shared" si="9"/>
        <v/>
      </c>
      <c r="U36" s="336" t="str">
        <f t="shared" si="9"/>
        <v/>
      </c>
      <c r="V36" s="336" t="str">
        <f t="shared" si="9"/>
        <v/>
      </c>
      <c r="W36" s="336" t="str">
        <f t="shared" si="9"/>
        <v/>
      </c>
      <c r="X36" s="336" t="str">
        <f t="shared" si="9"/>
        <v/>
      </c>
      <c r="Y36" s="336" t="str">
        <f t="shared" si="9"/>
        <v/>
      </c>
      <c r="Z36" s="336" t="str">
        <f t="shared" si="9"/>
        <v/>
      </c>
      <c r="AA36" s="336" t="str">
        <f t="shared" si="9"/>
        <v/>
      </c>
      <c r="AB36" s="336" t="str">
        <f t="shared" si="9"/>
        <v/>
      </c>
      <c r="AC36" s="336" t="str">
        <f t="shared" si="9"/>
        <v/>
      </c>
      <c r="AD36" s="336" t="str">
        <f t="shared" si="9"/>
        <v/>
      </c>
      <c r="AE36" s="336" t="str">
        <f t="shared" si="9"/>
        <v/>
      </c>
      <c r="AF36" s="336" t="str">
        <f t="shared" si="9"/>
        <v/>
      </c>
      <c r="AG36" s="336" t="str">
        <f t="shared" si="9"/>
        <v/>
      </c>
      <c r="AH36" s="336" t="str">
        <f t="shared" si="9"/>
        <v/>
      </c>
      <c r="AI36" s="336" t="str">
        <f t="shared" si="9"/>
        <v/>
      </c>
      <c r="AJ36" s="336" t="str">
        <f t="shared" si="9"/>
        <v/>
      </c>
      <c r="AK36" s="336" t="str">
        <f t="shared" si="9"/>
        <v/>
      </c>
      <c r="AL36" s="336" t="str">
        <f t="shared" si="9"/>
        <v/>
      </c>
      <c r="AM36" s="336" t="str">
        <f t="shared" si="9"/>
        <v/>
      </c>
      <c r="AN36" s="336" t="str">
        <f t="shared" si="9"/>
        <v/>
      </c>
      <c r="AO36" s="338"/>
      <c r="AP36" s="332"/>
      <c r="AQ36" s="332"/>
    </row>
    <row r="37" spans="1:43" s="302" customFormat="1" ht="17.25" hidden="1" customHeight="1" outlineLevel="1">
      <c r="A37" s="332"/>
      <c r="B37" s="333"/>
      <c r="C37" s="339"/>
      <c r="D37" s="340">
        <f>-E29</f>
        <v>-3200800</v>
      </c>
      <c r="E37" s="336">
        <f>E30</f>
        <v>281173.65000000026</v>
      </c>
      <c r="F37" s="336">
        <f>F30</f>
        <v>314952.99000000046</v>
      </c>
      <c r="G37" s="336">
        <f>G30</f>
        <v>350421.29700000002</v>
      </c>
      <c r="H37" s="336">
        <f>H30</f>
        <v>387663.01935000008</v>
      </c>
      <c r="I37" s="336">
        <f t="shared" ref="I37:AA37" si="10">I30</f>
        <v>426766.8278175001</v>
      </c>
      <c r="J37" s="336">
        <f t="shared" si="10"/>
        <v>467825.82670837524</v>
      </c>
      <c r="K37" s="336">
        <f t="shared" si="10"/>
        <v>510937.77554379427</v>
      </c>
      <c r="L37" s="336">
        <f t="shared" si="10"/>
        <v>556205.3218209839</v>
      </c>
      <c r="M37" s="336">
        <f t="shared" si="10"/>
        <v>603736.24541203305</v>
      </c>
      <c r="N37" s="336">
        <f t="shared" si="10"/>
        <v>653643.715182635</v>
      </c>
      <c r="O37" s="336">
        <f t="shared" si="10"/>
        <v>706046.55844176642</v>
      </c>
      <c r="P37" s="336">
        <f t="shared" si="10"/>
        <v>761069.54386385472</v>
      </c>
      <c r="Q37" s="336">
        <f t="shared" si="10"/>
        <v>784179.19774113211</v>
      </c>
      <c r="R37" s="336">
        <f t="shared" si="10"/>
        <v>807751.04469595442</v>
      </c>
      <c r="S37" s="336">
        <f t="shared" si="10"/>
        <v>831794.32858987362</v>
      </c>
      <c r="T37" s="336">
        <f t="shared" si="10"/>
        <v>856318.47816167155</v>
      </c>
      <c r="U37" s="336">
        <f t="shared" si="10"/>
        <v>881333.11072490457</v>
      </c>
      <c r="V37" s="336">
        <f t="shared" si="10"/>
        <v>906848.03593940265</v>
      </c>
      <c r="W37" s="336">
        <f t="shared" si="10"/>
        <v>932873.25965819135</v>
      </c>
      <c r="X37" s="336">
        <f t="shared" si="10"/>
        <v>959418.98785135453</v>
      </c>
      <c r="Y37" s="336">
        <f t="shared" si="10"/>
        <v>986495.63060838159</v>
      </c>
      <c r="Z37" s="336">
        <f t="shared" si="10"/>
        <v>1014113.806220549</v>
      </c>
      <c r="AA37" s="336">
        <f t="shared" si="10"/>
        <v>1042284.3453449612</v>
      </c>
      <c r="AB37" s="336">
        <f>AB30</f>
        <v>1071018.2952518603</v>
      </c>
      <c r="AC37" s="336">
        <f t="shared" ref="AC37:AN37" si="11">AC30</f>
        <v>1085672.6097043776</v>
      </c>
      <c r="AD37" s="336">
        <f t="shared" si="11"/>
        <v>1100473.467301422</v>
      </c>
      <c r="AE37" s="336">
        <f t="shared" si="11"/>
        <v>1115422.3334744363</v>
      </c>
      <c r="AF37" s="336">
        <f t="shared" si="11"/>
        <v>1130520.6883091806</v>
      </c>
      <c r="AG37" s="336">
        <f t="shared" si="11"/>
        <v>1145770.0266922726</v>
      </c>
      <c r="AH37" s="336">
        <f t="shared" si="11"/>
        <v>1161171.8584591954</v>
      </c>
      <c r="AI37" s="336">
        <f t="shared" si="11"/>
        <v>1176727.7085437872</v>
      </c>
      <c r="AJ37" s="336">
        <f t="shared" si="11"/>
        <v>1192439.1171292253</v>
      </c>
      <c r="AK37" s="336">
        <f t="shared" si="11"/>
        <v>1208307.6398005178</v>
      </c>
      <c r="AL37" s="336">
        <f t="shared" si="11"/>
        <v>1224334.8476985223</v>
      </c>
      <c r="AM37" s="336">
        <f t="shared" si="11"/>
        <v>1240522.3276755079</v>
      </c>
      <c r="AN37" s="336">
        <f t="shared" si="11"/>
        <v>1256871.6824522628</v>
      </c>
      <c r="AO37" s="338"/>
      <c r="AP37" s="332"/>
      <c r="AQ37" s="332"/>
    </row>
    <row r="38" spans="1:43" s="302" customFormat="1" ht="17.25" hidden="1" customHeight="1" outlineLevel="1">
      <c r="A38" s="332"/>
      <c r="B38" s="333"/>
      <c r="C38" s="341" t="s">
        <v>122</v>
      </c>
      <c r="D38" s="340">
        <f>-(E29)</f>
        <v>-3200800</v>
      </c>
      <c r="E38" s="336">
        <f>SUM(E30:P30)</f>
        <v>6020442.7711409433</v>
      </c>
      <c r="F38" s="336">
        <f>SUM(Q30:AB30)</f>
        <v>11074428.520788237</v>
      </c>
      <c r="G38" s="336">
        <f>SUM(AC30:AN30)</f>
        <v>14038234.307240708</v>
      </c>
      <c r="H38" s="336"/>
      <c r="I38" s="336"/>
      <c r="J38" s="336"/>
      <c r="K38" s="336"/>
      <c r="L38" s="336"/>
      <c r="M38" s="336"/>
      <c r="N38" s="336"/>
      <c r="O38" s="336"/>
      <c r="P38" s="336">
        <f>SUM(E30:P30)/(1+Прибыль_окупаемость!F45)^1</f>
        <v>5440978.5550302239</v>
      </c>
      <c r="Q38" s="336"/>
      <c r="R38" s="336"/>
      <c r="S38" s="336"/>
      <c r="T38" s="336"/>
      <c r="U38" s="336"/>
      <c r="V38" s="336"/>
      <c r="W38" s="336"/>
      <c r="X38" s="336"/>
      <c r="Y38" s="336"/>
      <c r="Z38" s="336"/>
      <c r="AA38" s="336"/>
      <c r="AB38" s="336">
        <f>SUM(Q30:AB30)/(1+Прибыль_окупаемость!F45)^2</f>
        <v>9045206.5350095015</v>
      </c>
      <c r="AC38" s="336"/>
      <c r="AD38" s="336"/>
      <c r="AE38" s="336"/>
      <c r="AF38" s="336"/>
      <c r="AG38" s="336"/>
      <c r="AH38" s="336"/>
      <c r="AI38" s="336"/>
      <c r="AJ38" s="336"/>
      <c r="AK38" s="336"/>
      <c r="AL38" s="336"/>
      <c r="AM38" s="336"/>
      <c r="AN38" s="336"/>
      <c r="AO38" s="338"/>
      <c r="AP38" s="332"/>
      <c r="AQ38" s="332"/>
    </row>
    <row r="39" spans="1:43" s="302" customFormat="1" ht="17.25" hidden="1" customHeight="1" outlineLevel="1">
      <c r="A39" s="332"/>
      <c r="B39" s="333"/>
      <c r="C39" s="341" t="s">
        <v>123</v>
      </c>
      <c r="D39" s="340">
        <f>-(E29)</f>
        <v>-3200800</v>
      </c>
      <c r="E39" s="336">
        <f>SUM(E30:P30)/(1+(F45)^1)</f>
        <v>5440978.5550302239</v>
      </c>
      <c r="F39" s="336">
        <f>SUM(Q30:AB30)/(1+(F45)^2)</f>
        <v>10950228.293921506</v>
      </c>
      <c r="G39" s="336">
        <f>SUM(AC30:AN30)/(1+(F45)^3)</f>
        <v>14021297.286441538</v>
      </c>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8"/>
      <c r="AP39" s="332"/>
      <c r="AQ39" s="332"/>
    </row>
    <row r="40" spans="1:43" s="302" customFormat="1" ht="17.25" hidden="1" customHeight="1" outlineLevel="1">
      <c r="A40" s="332"/>
      <c r="B40" s="333"/>
      <c r="C40" s="514" t="s">
        <v>148</v>
      </c>
      <c r="D40" s="340"/>
      <c r="E40" s="336">
        <f>IF((E21-E23-E24-E25-E27-E28)&gt;0,E21-E23-E24-E25-E27-E28,0)</f>
        <v>285586.8000000004</v>
      </c>
      <c r="F40" s="336">
        <f t="shared" ref="F40:AN40" si="12">IF((F21-F23-F24-F25-F27-F28)&gt;0,F21-F23-F24-F25-F27-F28,0)</f>
        <v>319366.14000000042</v>
      </c>
      <c r="G40" s="336">
        <f t="shared" si="12"/>
        <v>354834.44699999999</v>
      </c>
      <c r="H40" s="336">
        <f t="shared" si="12"/>
        <v>392076.16935000016</v>
      </c>
      <c r="I40" s="336">
        <f t="shared" si="12"/>
        <v>431179.97781750013</v>
      </c>
      <c r="J40" s="336">
        <f t="shared" si="12"/>
        <v>472238.97670837532</v>
      </c>
      <c r="K40" s="336">
        <f t="shared" si="12"/>
        <v>515350.92554379435</v>
      </c>
      <c r="L40" s="336">
        <f t="shared" si="12"/>
        <v>560618.47182098392</v>
      </c>
      <c r="M40" s="336">
        <f t="shared" si="12"/>
        <v>608149.39541203296</v>
      </c>
      <c r="N40" s="336">
        <f t="shared" si="12"/>
        <v>658056.86518263503</v>
      </c>
      <c r="O40" s="336">
        <f t="shared" si="12"/>
        <v>710459.70844176644</v>
      </c>
      <c r="P40" s="336">
        <f t="shared" si="12"/>
        <v>765482.69386385474</v>
      </c>
      <c r="Q40" s="336">
        <f t="shared" si="12"/>
        <v>788592.34774113214</v>
      </c>
      <c r="R40" s="336">
        <f t="shared" si="12"/>
        <v>812164.19469595444</v>
      </c>
      <c r="S40" s="336">
        <f t="shared" si="12"/>
        <v>836207.47858987364</v>
      </c>
      <c r="T40" s="336">
        <f t="shared" si="12"/>
        <v>860731.62816167157</v>
      </c>
      <c r="U40" s="336">
        <f t="shared" si="12"/>
        <v>885746.2607249046</v>
      </c>
      <c r="V40" s="336">
        <f t="shared" si="12"/>
        <v>911261.18593940267</v>
      </c>
      <c r="W40" s="336">
        <f t="shared" si="12"/>
        <v>937286.40965819138</v>
      </c>
      <c r="X40" s="336">
        <f t="shared" si="12"/>
        <v>963832.13785135455</v>
      </c>
      <c r="Y40" s="336">
        <f t="shared" si="12"/>
        <v>990908.78060838161</v>
      </c>
      <c r="Z40" s="336">
        <f t="shared" si="12"/>
        <v>1018526.9562205491</v>
      </c>
      <c r="AA40" s="336">
        <f t="shared" si="12"/>
        <v>1046697.4953449611</v>
      </c>
      <c r="AB40" s="336">
        <f t="shared" si="12"/>
        <v>1075431.4452518604</v>
      </c>
      <c r="AC40" s="336">
        <f t="shared" si="12"/>
        <v>1090085.7597043775</v>
      </c>
      <c r="AD40" s="336">
        <f t="shared" si="12"/>
        <v>1104886.6173014222</v>
      </c>
      <c r="AE40" s="336">
        <f t="shared" si="12"/>
        <v>1119835.4834744364</v>
      </c>
      <c r="AF40" s="336">
        <f t="shared" si="12"/>
        <v>1134933.8383091807</v>
      </c>
      <c r="AG40" s="336">
        <f t="shared" si="12"/>
        <v>1150183.1766922725</v>
      </c>
      <c r="AH40" s="336">
        <f t="shared" si="12"/>
        <v>1165585.0084591953</v>
      </c>
      <c r="AI40" s="336">
        <f t="shared" si="12"/>
        <v>1181140.8585437872</v>
      </c>
      <c r="AJ40" s="336">
        <f t="shared" si="12"/>
        <v>1196852.2671292254</v>
      </c>
      <c r="AK40" s="336">
        <f t="shared" si="12"/>
        <v>1212720.7898005177</v>
      </c>
      <c r="AL40" s="336">
        <f t="shared" si="12"/>
        <v>1228747.9976985224</v>
      </c>
      <c r="AM40" s="336">
        <f t="shared" si="12"/>
        <v>1244935.4776755078</v>
      </c>
      <c r="AN40" s="336">
        <f t="shared" si="12"/>
        <v>1261284.8324522628</v>
      </c>
      <c r="AO40" s="338"/>
      <c r="AP40" s="332"/>
      <c r="AQ40" s="332"/>
    </row>
    <row r="41" spans="1:43" s="119" customFormat="1" ht="17.25" customHeight="1" collapsed="1">
      <c r="A41" s="275"/>
      <c r="B41" s="276"/>
      <c r="C41" s="342"/>
      <c r="D41" s="343"/>
      <c r="E41" s="342"/>
      <c r="F41" s="342"/>
      <c r="G41" s="342"/>
      <c r="H41" s="342"/>
      <c r="I41" s="342"/>
      <c r="J41" s="342"/>
      <c r="K41" s="344"/>
      <c r="L41" s="344"/>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279"/>
      <c r="AP41" s="275"/>
      <c r="AQ41" s="275"/>
    </row>
    <row r="42" spans="1:43" s="119" customFormat="1" ht="17.25" customHeight="1">
      <c r="A42" s="275"/>
      <c r="B42" s="276"/>
      <c r="C42" s="609" t="s">
        <v>6</v>
      </c>
      <c r="D42" s="609"/>
      <c r="E42" s="609"/>
      <c r="F42" s="609"/>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279"/>
      <c r="AP42" s="275"/>
      <c r="AQ42" s="275"/>
    </row>
    <row r="43" spans="1:43" s="119" customFormat="1" ht="17.25" customHeight="1">
      <c r="A43" s="275"/>
      <c r="B43" s="276"/>
      <c r="C43" s="608" t="s">
        <v>8</v>
      </c>
      <c r="D43" s="608"/>
      <c r="E43" s="608">
        <f>AVERAGE(E30:AN30)</f>
        <v>864808.48886583024</v>
      </c>
      <c r="F43" s="346">
        <f>AVERAGE(E30:AN30)</f>
        <v>864808.48886583024</v>
      </c>
      <c r="G43" s="209"/>
      <c r="H43" s="345"/>
      <c r="I43" s="209"/>
      <c r="J43" s="209"/>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279"/>
      <c r="AP43" s="275"/>
      <c r="AQ43" s="275"/>
    </row>
    <row r="44" spans="1:43" s="119" customFormat="1" ht="17.25" customHeight="1">
      <c r="A44" s="275"/>
      <c r="B44" s="276"/>
      <c r="C44" s="608" t="s">
        <v>24</v>
      </c>
      <c r="D44" s="608"/>
      <c r="E44" s="608"/>
      <c r="F44" s="347">
        <f>SUM(E33:AN33)</f>
        <v>8</v>
      </c>
      <c r="G44" s="209"/>
      <c r="H44" s="345"/>
      <c r="I44" s="209"/>
      <c r="J44" s="209"/>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279"/>
      <c r="AP44" s="275"/>
      <c r="AQ44" s="275"/>
    </row>
    <row r="45" spans="1:43" s="119" customFormat="1" ht="17.25" customHeight="1">
      <c r="A45" s="275"/>
      <c r="B45" s="276"/>
      <c r="C45" s="608" t="s">
        <v>25</v>
      </c>
      <c r="D45" s="608"/>
      <c r="E45" s="608"/>
      <c r="F45" s="348">
        <f>'Допущения и ограничения'!G29</f>
        <v>0.1065</v>
      </c>
      <c r="G45" s="209"/>
      <c r="H45" s="345"/>
      <c r="I45" s="209"/>
      <c r="J45" s="209"/>
      <c r="K45" s="345"/>
      <c r="L45" s="345"/>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279"/>
      <c r="AP45" s="275"/>
      <c r="AQ45" s="275"/>
    </row>
    <row r="46" spans="1:43" s="119" customFormat="1" ht="17.25" customHeight="1">
      <c r="A46" s="275"/>
      <c r="B46" s="276"/>
      <c r="C46" s="608" t="s">
        <v>117</v>
      </c>
      <c r="D46" s="608"/>
      <c r="E46" s="608"/>
      <c r="F46" s="349">
        <f>SUM(Прибыль_окупаемость!E36:AN36)</f>
        <v>8</v>
      </c>
      <c r="G46" s="209"/>
      <c r="H46" s="345"/>
      <c r="I46" s="209"/>
      <c r="J46" s="209"/>
      <c r="K46" s="345"/>
      <c r="L46" s="345"/>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279"/>
      <c r="AP46" s="275"/>
      <c r="AQ46" s="275"/>
    </row>
    <row r="47" spans="1:43" s="119" customFormat="1" ht="17.25" customHeight="1">
      <c r="A47" s="275"/>
      <c r="B47" s="276"/>
      <c r="C47" s="608" t="s">
        <v>26</v>
      </c>
      <c r="D47" s="608"/>
      <c r="E47" s="608"/>
      <c r="F47" s="346">
        <f>NPV(F45,E38:G38)+D38</f>
        <v>21647734.494042285</v>
      </c>
      <c r="G47" s="209"/>
      <c r="H47" s="345"/>
      <c r="I47" s="209"/>
      <c r="J47" s="209"/>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279"/>
      <c r="AP47" s="275"/>
      <c r="AQ47" s="275"/>
    </row>
    <row r="48" spans="1:43" s="119" customFormat="1" ht="17.25" customHeight="1">
      <c r="A48" s="275"/>
      <c r="B48" s="276"/>
      <c r="C48" s="608" t="s">
        <v>27</v>
      </c>
      <c r="D48" s="608"/>
      <c r="E48" s="608"/>
      <c r="F48" s="350">
        <f>Прибыль_окупаемость!D35/Прибыль_окупаемость!E29</f>
        <v>9.7077207066407691</v>
      </c>
      <c r="G48" s="209"/>
      <c r="H48" s="345"/>
      <c r="I48" s="209"/>
      <c r="J48" s="209"/>
      <c r="K48" s="345"/>
      <c r="L48" s="345"/>
      <c r="M48" s="345"/>
      <c r="N48" s="345"/>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279"/>
      <c r="AP48" s="275"/>
      <c r="AQ48" s="275"/>
    </row>
    <row r="49" spans="1:43" s="119" customFormat="1" ht="17.25" customHeight="1">
      <c r="A49" s="275"/>
      <c r="B49" s="276"/>
      <c r="C49" s="608" t="s">
        <v>28</v>
      </c>
      <c r="D49" s="608"/>
      <c r="E49" s="608"/>
      <c r="F49" s="351">
        <f>IRR(D38:G38)</f>
        <v>2.3206169308618105</v>
      </c>
      <c r="G49" s="209"/>
      <c r="H49" s="345"/>
      <c r="I49" s="209"/>
      <c r="J49" s="209"/>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279"/>
      <c r="AP49" s="275"/>
      <c r="AQ49" s="275"/>
    </row>
    <row r="50" spans="1:43" ht="36" customHeight="1">
      <c r="B50" s="142"/>
      <c r="C50" s="352"/>
      <c r="D50" s="353"/>
      <c r="E50" s="354"/>
      <c r="F50" s="355"/>
      <c r="G50" s="133"/>
      <c r="H50" s="356"/>
      <c r="I50" s="133"/>
      <c r="J50" s="133"/>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141"/>
    </row>
    <row r="51" spans="1:43" s="83" customFormat="1" ht="265.5" customHeight="1">
      <c r="A51" s="136"/>
      <c r="B51" s="142"/>
      <c r="C51" s="133"/>
      <c r="D51" s="146"/>
      <c r="E51" s="306"/>
      <c r="F51" s="306"/>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41"/>
      <c r="AP51" s="136"/>
      <c r="AQ51" s="136"/>
    </row>
    <row r="52" spans="1:43" ht="153.75" customHeight="1">
      <c r="B52" s="142"/>
      <c r="C52" s="124"/>
      <c r="D52" s="146"/>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41"/>
    </row>
    <row r="53" spans="1:43" ht="184.5" customHeight="1" thickBot="1">
      <c r="B53" s="160"/>
      <c r="C53" s="161"/>
      <c r="D53" s="218"/>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2"/>
    </row>
    <row r="55" spans="1:43" ht="15" customHeight="1">
      <c r="D55" s="357"/>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row>
    <row r="56" spans="1:43" ht="15" customHeight="1">
      <c r="D56" s="357"/>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row>
  </sheetData>
  <mergeCells count="14">
    <mergeCell ref="C43:E43"/>
    <mergeCell ref="C44:E44"/>
    <mergeCell ref="B3:AN3"/>
    <mergeCell ref="C42:F42"/>
    <mergeCell ref="C11:H12"/>
    <mergeCell ref="C13:H13"/>
    <mergeCell ref="C14:H15"/>
    <mergeCell ref="H8:I8"/>
    <mergeCell ref="H9:I9"/>
    <mergeCell ref="C45:E45"/>
    <mergeCell ref="C46:E46"/>
    <mergeCell ref="C47:E47"/>
    <mergeCell ref="C48:E48"/>
    <mergeCell ref="C49:E49"/>
  </mergeCells>
  <pageMargins left="0.70866141732283472" right="0.70866141732283472" top="0.74803149606299213" bottom="0.74803149606299213" header="0.31496062992125984" footer="0.31496062992125984"/>
  <pageSetup paperSize="9" scale="23" orientation="landscape" r:id="rId1"/>
  <drawing r:id="rId2"/>
</worksheet>
</file>

<file path=xl/worksheets/sheet9.xml><?xml version="1.0" encoding="utf-8"?>
<worksheet xmlns="http://schemas.openxmlformats.org/spreadsheetml/2006/main" xmlns:r="http://schemas.openxmlformats.org/officeDocument/2006/relationships">
  <sheetPr codeName="Лист9">
    <tabColor rgb="FF3AAA35"/>
  </sheetPr>
  <dimension ref="A1:Q44"/>
  <sheetViews>
    <sheetView showGridLines="0" zoomScale="75" zoomScaleNormal="75" workbookViewId="0"/>
  </sheetViews>
  <sheetFormatPr defaultColWidth="15.140625" defaultRowHeight="15"/>
  <cols>
    <col min="1" max="2" width="10.7109375" style="181" customWidth="1"/>
    <col min="3" max="3" width="19.85546875" style="181" bestFit="1" customWidth="1"/>
    <col min="4" max="7" width="12.140625" style="181" bestFit="1" customWidth="1"/>
    <col min="8" max="8" width="12" style="181" bestFit="1" customWidth="1"/>
    <col min="9" max="11" width="12.140625" style="181" bestFit="1" customWidth="1"/>
    <col min="12" max="12" width="12" style="181" bestFit="1" customWidth="1"/>
    <col min="13" max="13" width="12" style="181" customWidth="1"/>
    <col min="14" max="14" width="10.7109375" style="181" customWidth="1"/>
    <col min="15" max="16" width="15.140625" style="181"/>
    <col min="17" max="16384" width="15.140625" style="6"/>
  </cols>
  <sheetData>
    <row r="1" spans="1:17" ht="15" customHeight="1" thickBot="1">
      <c r="A1" s="401"/>
    </row>
    <row r="2" spans="1:17" ht="43.5" customHeight="1">
      <c r="B2" s="388"/>
      <c r="C2" s="389"/>
      <c r="D2" s="389"/>
      <c r="E2" s="389"/>
      <c r="F2" s="389"/>
      <c r="G2" s="389"/>
      <c r="H2" s="389"/>
      <c r="I2" s="389"/>
      <c r="J2" s="389"/>
      <c r="K2" s="389"/>
      <c r="L2" s="389"/>
      <c r="M2" s="389"/>
      <c r="N2" s="390"/>
    </row>
    <row r="3" spans="1:17" ht="43.5" customHeight="1">
      <c r="B3" s="611"/>
      <c r="C3" s="612"/>
      <c r="D3" s="612"/>
      <c r="E3" s="612"/>
      <c r="F3" s="612"/>
      <c r="G3" s="612"/>
      <c r="H3" s="612"/>
      <c r="I3" s="612"/>
      <c r="J3" s="612"/>
      <c r="K3" s="612"/>
      <c r="L3" s="612"/>
      <c r="M3" s="612"/>
      <c r="N3" s="613"/>
    </row>
    <row r="4" spans="1:17" ht="33" customHeight="1">
      <c r="B4" s="614"/>
      <c r="C4" s="615"/>
      <c r="D4" s="615"/>
      <c r="E4" s="615"/>
      <c r="F4" s="615"/>
      <c r="G4" s="615"/>
      <c r="H4" s="615"/>
      <c r="I4" s="615"/>
      <c r="J4" s="615"/>
      <c r="K4" s="615"/>
      <c r="L4" s="615"/>
      <c r="M4" s="615"/>
      <c r="N4" s="616"/>
    </row>
    <row r="5" spans="1:17" ht="33" customHeight="1">
      <c r="B5" s="391"/>
      <c r="C5" s="392"/>
      <c r="D5" s="392"/>
      <c r="E5" s="392"/>
      <c r="F5" s="392"/>
      <c r="G5" s="392"/>
      <c r="H5" s="392"/>
      <c r="I5" s="392"/>
      <c r="J5" s="392"/>
      <c r="K5" s="392"/>
      <c r="L5" s="392"/>
      <c r="M5" s="392"/>
      <c r="N5" s="393"/>
    </row>
    <row r="6" spans="1:17" ht="33" customHeight="1">
      <c r="B6" s="394"/>
      <c r="C6" s="180"/>
      <c r="D6" s="180"/>
      <c r="E6" s="180"/>
      <c r="F6" s="180"/>
      <c r="G6" s="180"/>
      <c r="H6" s="180"/>
      <c r="I6" s="180"/>
      <c r="J6" s="180"/>
      <c r="K6" s="180"/>
      <c r="L6" s="180"/>
      <c r="M6" s="180"/>
      <c r="N6" s="395"/>
    </row>
    <row r="7" spans="1:17" ht="33" customHeight="1" thickBot="1">
      <c r="B7" s="394"/>
      <c r="C7" s="180"/>
      <c r="D7" s="180"/>
      <c r="E7" s="180"/>
      <c r="F7" s="180"/>
      <c r="G7" s="180"/>
      <c r="H7" s="180"/>
      <c r="I7" s="180"/>
      <c r="J7" s="180"/>
      <c r="K7" s="180"/>
      <c r="L7" s="180"/>
      <c r="M7" s="180"/>
      <c r="N7" s="395"/>
    </row>
    <row r="8" spans="1:17" ht="77.25" customHeight="1" thickBot="1">
      <c r="B8" s="394"/>
      <c r="C8" s="617" t="s">
        <v>204</v>
      </c>
      <c r="D8" s="617"/>
      <c r="E8" s="617"/>
      <c r="F8" s="617"/>
      <c r="G8" s="617"/>
      <c r="H8" s="617"/>
      <c r="I8" s="617"/>
      <c r="J8" s="617"/>
      <c r="K8" s="617"/>
      <c r="L8" s="617"/>
      <c r="M8" s="617"/>
      <c r="N8" s="395"/>
      <c r="Q8" s="94"/>
    </row>
    <row r="9" spans="1:17">
      <c r="B9" s="394"/>
      <c r="C9" s="180"/>
      <c r="D9" s="180"/>
      <c r="E9" s="180"/>
      <c r="H9" s="180"/>
      <c r="M9" s="396"/>
      <c r="N9" s="395"/>
    </row>
    <row r="10" spans="1:17" ht="27" customHeight="1">
      <c r="B10" s="394"/>
      <c r="C10" s="180"/>
      <c r="D10" s="180"/>
      <c r="E10" s="180"/>
      <c r="F10" s="180"/>
      <c r="G10" s="180"/>
      <c r="H10" s="180"/>
      <c r="I10" s="180"/>
      <c r="J10" s="180"/>
      <c r="K10" s="180"/>
      <c r="L10" s="180"/>
      <c r="M10" s="180"/>
      <c r="N10" s="395"/>
    </row>
    <row r="11" spans="1:17" ht="27" customHeight="1">
      <c r="B11" s="394"/>
      <c r="C11" s="180"/>
      <c r="D11" s="180"/>
      <c r="E11" s="180"/>
      <c r="F11" s="180"/>
      <c r="G11" s="180"/>
      <c r="H11" s="180"/>
      <c r="I11" s="180"/>
      <c r="J11" s="180"/>
      <c r="K11" s="180"/>
      <c r="L11" s="180"/>
      <c r="M11" s="180"/>
      <c r="N11" s="395"/>
    </row>
    <row r="12" spans="1:17" ht="27" customHeight="1">
      <c r="B12" s="394"/>
      <c r="C12" s="180"/>
      <c r="D12" s="180"/>
      <c r="E12" s="180"/>
      <c r="F12" s="180"/>
      <c r="G12" s="180"/>
      <c r="H12" s="180"/>
      <c r="I12" s="180"/>
      <c r="J12" s="180"/>
      <c r="K12" s="180"/>
      <c r="L12" s="180"/>
      <c r="M12" s="180"/>
      <c r="N12" s="395"/>
    </row>
    <row r="13" spans="1:17" ht="27" customHeight="1">
      <c r="B13" s="394"/>
      <c r="C13" s="180"/>
      <c r="D13" s="180"/>
      <c r="E13" s="180"/>
      <c r="F13" s="180"/>
      <c r="G13" s="180"/>
      <c r="H13" s="180"/>
      <c r="I13" s="180"/>
      <c r="J13" s="180"/>
      <c r="K13" s="180"/>
      <c r="L13" s="180"/>
      <c r="M13" s="180"/>
      <c r="N13" s="395"/>
    </row>
    <row r="14" spans="1:17" ht="27" customHeight="1">
      <c r="B14" s="394"/>
      <c r="C14" s="180"/>
      <c r="D14" s="180"/>
      <c r="E14" s="180"/>
      <c r="F14" s="180"/>
      <c r="G14" s="180"/>
      <c r="H14" s="180"/>
      <c r="I14" s="180"/>
      <c r="J14" s="180"/>
      <c r="K14" s="180"/>
      <c r="L14" s="180"/>
      <c r="M14" s="180"/>
      <c r="N14" s="395"/>
    </row>
    <row r="15" spans="1:17" ht="27" customHeight="1">
      <c r="B15" s="394"/>
      <c r="C15" s="180"/>
      <c r="D15" s="180"/>
      <c r="E15" s="180"/>
      <c r="F15" s="180"/>
      <c r="G15" s="180"/>
      <c r="H15" s="180"/>
      <c r="I15" s="180"/>
      <c r="J15" s="180"/>
      <c r="K15" s="180"/>
      <c r="L15" s="180"/>
      <c r="M15" s="180"/>
      <c r="N15" s="395"/>
    </row>
    <row r="16" spans="1:17" ht="27" customHeight="1">
      <c r="B16" s="394"/>
      <c r="C16" s="180"/>
      <c r="D16" s="180"/>
      <c r="E16" s="180"/>
      <c r="F16" s="180"/>
      <c r="G16" s="180"/>
      <c r="H16" s="180"/>
      <c r="I16" s="180"/>
      <c r="J16" s="180"/>
      <c r="K16" s="180"/>
      <c r="L16" s="180"/>
      <c r="M16" s="180"/>
      <c r="N16" s="395"/>
    </row>
    <row r="17" spans="2:14" ht="207" customHeight="1">
      <c r="B17" s="394"/>
      <c r="C17" s="180"/>
      <c r="D17" s="180"/>
      <c r="E17" s="180"/>
      <c r="F17" s="180"/>
      <c r="G17" s="180"/>
      <c r="H17" s="180"/>
      <c r="I17" s="180"/>
      <c r="J17" s="180"/>
      <c r="K17" s="180"/>
      <c r="L17" s="180"/>
      <c r="M17" s="180"/>
      <c r="N17" s="395"/>
    </row>
    <row r="18" spans="2:14" ht="51.75" customHeight="1">
      <c r="B18" s="394"/>
      <c r="C18" s="180"/>
      <c r="D18" s="180"/>
      <c r="E18" s="180"/>
      <c r="F18" s="180"/>
      <c r="G18" s="180"/>
      <c r="H18" s="180"/>
      <c r="I18" s="180"/>
      <c r="J18" s="180"/>
      <c r="K18" s="180"/>
      <c r="L18" s="180"/>
      <c r="M18" s="180"/>
      <c r="N18" s="395"/>
    </row>
    <row r="19" spans="2:14" ht="51.75" customHeight="1">
      <c r="B19" s="394"/>
      <c r="C19" s="180"/>
      <c r="D19" s="180"/>
      <c r="E19" s="180"/>
      <c r="F19" s="180"/>
      <c r="G19" s="180"/>
      <c r="H19" s="180"/>
      <c r="I19" s="180"/>
      <c r="J19" s="180"/>
      <c r="K19" s="180"/>
      <c r="L19" s="180"/>
      <c r="M19" s="180"/>
      <c r="N19" s="395"/>
    </row>
    <row r="20" spans="2:14" ht="51.75" customHeight="1">
      <c r="B20" s="394"/>
      <c r="C20" s="180"/>
      <c r="D20" s="180"/>
      <c r="E20" s="180"/>
      <c r="F20" s="180"/>
      <c r="G20" s="180"/>
      <c r="H20" s="180"/>
      <c r="I20" s="180"/>
      <c r="J20" s="180"/>
      <c r="K20" s="180"/>
      <c r="L20" s="180"/>
      <c r="M20" s="180"/>
      <c r="N20" s="395"/>
    </row>
    <row r="21" spans="2:14" ht="51.75" customHeight="1">
      <c r="B21" s="394"/>
      <c r="C21" s="180"/>
      <c r="D21" s="180"/>
      <c r="E21" s="180"/>
      <c r="F21" s="180"/>
      <c r="G21" s="180"/>
      <c r="H21" s="180"/>
      <c r="I21" s="180"/>
      <c r="J21" s="180"/>
      <c r="K21" s="180"/>
      <c r="L21" s="180"/>
      <c r="M21" s="180"/>
      <c r="N21" s="395"/>
    </row>
    <row r="22" spans="2:14" ht="51.75" customHeight="1">
      <c r="B22" s="394"/>
      <c r="C22" s="180"/>
      <c r="D22" s="180"/>
      <c r="E22" s="180"/>
      <c r="F22" s="180"/>
      <c r="G22" s="180"/>
      <c r="H22" s="180"/>
      <c r="I22" s="180"/>
      <c r="J22" s="180"/>
      <c r="K22" s="180"/>
      <c r="L22" s="180"/>
      <c r="M22" s="180"/>
      <c r="N22" s="395"/>
    </row>
    <row r="23" spans="2:14" ht="51.75" customHeight="1">
      <c r="B23" s="394"/>
      <c r="C23" s="180"/>
      <c r="D23" s="180"/>
      <c r="E23" s="180"/>
      <c r="F23" s="180"/>
      <c r="G23" s="180"/>
      <c r="H23" s="180"/>
      <c r="I23" s="180"/>
      <c r="J23" s="180"/>
      <c r="K23" s="180"/>
      <c r="L23" s="180"/>
      <c r="M23" s="180"/>
      <c r="N23" s="395"/>
    </row>
    <row r="24" spans="2:14" ht="51.75" customHeight="1">
      <c r="B24" s="394"/>
      <c r="C24" s="180"/>
      <c r="D24" s="180"/>
      <c r="E24" s="180"/>
      <c r="F24" s="180"/>
      <c r="G24" s="180"/>
      <c r="H24" s="180"/>
      <c r="I24" s="180"/>
      <c r="J24" s="180"/>
      <c r="K24" s="180"/>
      <c r="L24" s="180"/>
      <c r="M24" s="180"/>
      <c r="N24" s="395"/>
    </row>
    <row r="25" spans="2:14" ht="51.75" customHeight="1">
      <c r="B25" s="394"/>
      <c r="C25" s="180"/>
      <c r="D25" s="180"/>
      <c r="E25" s="180"/>
      <c r="F25" s="180"/>
      <c r="G25" s="180"/>
      <c r="H25" s="180"/>
      <c r="I25" s="180"/>
      <c r="J25" s="180"/>
      <c r="K25" s="180"/>
      <c r="L25" s="180"/>
      <c r="M25" s="180"/>
      <c r="N25" s="395"/>
    </row>
    <row r="26" spans="2:14" ht="51.75" customHeight="1">
      <c r="B26" s="394"/>
      <c r="C26" s="180"/>
      <c r="D26" s="180"/>
      <c r="E26" s="180"/>
      <c r="F26" s="180"/>
      <c r="G26" s="180"/>
      <c r="H26" s="180"/>
      <c r="I26" s="180"/>
      <c r="J26" s="180"/>
      <c r="K26" s="180"/>
      <c r="L26" s="180"/>
      <c r="M26" s="180"/>
      <c r="N26" s="395"/>
    </row>
    <row r="27" spans="2:14" ht="51.75" customHeight="1">
      <c r="B27" s="394"/>
      <c r="C27" s="180"/>
      <c r="D27" s="180"/>
      <c r="E27" s="180"/>
      <c r="F27" s="180"/>
      <c r="G27" s="180"/>
      <c r="H27" s="180"/>
      <c r="I27" s="180"/>
      <c r="J27" s="180"/>
      <c r="K27" s="180"/>
      <c r="L27" s="180"/>
      <c r="M27" s="180"/>
      <c r="N27" s="395"/>
    </row>
    <row r="28" spans="2:14" ht="51.75" customHeight="1">
      <c r="B28" s="394"/>
      <c r="C28" s="180"/>
      <c r="D28" s="180"/>
      <c r="E28" s="180"/>
      <c r="F28" s="180"/>
      <c r="G28" s="180"/>
      <c r="H28" s="180"/>
      <c r="I28" s="180"/>
      <c r="J28" s="180"/>
      <c r="K28" s="180"/>
      <c r="L28" s="180"/>
      <c r="M28" s="180"/>
      <c r="N28" s="395"/>
    </row>
    <row r="29" spans="2:14" ht="51.75" customHeight="1">
      <c r="B29" s="394"/>
      <c r="C29" s="180"/>
      <c r="D29" s="180"/>
      <c r="E29" s="180"/>
      <c r="F29" s="180"/>
      <c r="G29" s="180"/>
      <c r="H29" s="180"/>
      <c r="I29" s="180"/>
      <c r="J29" s="180"/>
      <c r="K29" s="180"/>
      <c r="L29" s="180"/>
      <c r="M29" s="180"/>
      <c r="N29" s="395"/>
    </row>
    <row r="30" spans="2:14" ht="51.75" customHeight="1">
      <c r="B30" s="394"/>
      <c r="C30" s="180"/>
      <c r="D30" s="180"/>
      <c r="E30" s="180"/>
      <c r="F30" s="180"/>
      <c r="G30" s="180"/>
      <c r="H30" s="180"/>
      <c r="I30" s="180"/>
      <c r="J30" s="180"/>
      <c r="K30" s="180"/>
      <c r="L30" s="180"/>
      <c r="M30" s="180"/>
      <c r="N30" s="395"/>
    </row>
    <row r="31" spans="2:14" ht="51.75" customHeight="1">
      <c r="B31" s="394"/>
      <c r="C31" s="180"/>
      <c r="D31" s="180"/>
      <c r="E31" s="180"/>
      <c r="F31" s="180"/>
      <c r="G31" s="180"/>
      <c r="H31" s="180"/>
      <c r="I31" s="180"/>
      <c r="J31" s="180"/>
      <c r="K31" s="180"/>
      <c r="L31" s="180"/>
      <c r="M31" s="180"/>
      <c r="N31" s="395"/>
    </row>
    <row r="32" spans="2:14" ht="51.75" customHeight="1">
      <c r="B32" s="394"/>
      <c r="C32" s="180"/>
      <c r="D32" s="180"/>
      <c r="E32" s="180"/>
      <c r="F32" s="180"/>
      <c r="G32" s="180"/>
      <c r="H32" s="180"/>
      <c r="I32" s="180"/>
      <c r="J32" s="180"/>
      <c r="K32" s="180"/>
      <c r="L32" s="180"/>
      <c r="M32" s="180"/>
      <c r="N32" s="395"/>
    </row>
    <row r="33" spans="2:14" ht="51.75" customHeight="1">
      <c r="B33" s="394"/>
      <c r="C33" s="180"/>
      <c r="D33" s="180"/>
      <c r="E33" s="180"/>
      <c r="F33" s="180"/>
      <c r="G33" s="180"/>
      <c r="H33" s="180"/>
      <c r="I33" s="180"/>
      <c r="J33" s="180"/>
      <c r="K33" s="180"/>
      <c r="L33" s="180"/>
      <c r="M33" s="180"/>
      <c r="N33" s="395"/>
    </row>
    <row r="34" spans="2:14" ht="15" customHeight="1" thickBot="1">
      <c r="B34" s="397"/>
      <c r="C34" s="398"/>
      <c r="D34" s="398"/>
      <c r="E34" s="398"/>
      <c r="F34" s="398"/>
      <c r="G34" s="398"/>
      <c r="H34" s="398"/>
      <c r="I34" s="398"/>
      <c r="J34" s="398"/>
      <c r="K34" s="398"/>
      <c r="L34" s="398"/>
      <c r="M34" s="398"/>
      <c r="N34" s="399"/>
    </row>
    <row r="37" spans="2:14">
      <c r="B37" s="180"/>
      <c r="C37" s="400"/>
      <c r="D37" s="400"/>
      <c r="E37" s="400"/>
      <c r="F37" s="400"/>
      <c r="G37" s="400"/>
      <c r="H37" s="400"/>
      <c r="I37" s="400"/>
      <c r="J37" s="400"/>
      <c r="K37" s="400"/>
      <c r="L37" s="400"/>
      <c r="M37" s="400"/>
      <c r="N37" s="180"/>
    </row>
    <row r="38" spans="2:14">
      <c r="B38" s="180"/>
      <c r="C38" s="400"/>
      <c r="D38" s="400"/>
      <c r="E38" s="400"/>
      <c r="F38" s="400"/>
      <c r="G38" s="400"/>
      <c r="H38" s="400"/>
      <c r="I38" s="400"/>
      <c r="J38" s="400"/>
      <c r="K38" s="400"/>
      <c r="L38" s="400"/>
      <c r="M38" s="400"/>
      <c r="N38" s="180"/>
    </row>
    <row r="39" spans="2:14">
      <c r="B39" s="180"/>
      <c r="C39" s="400"/>
      <c r="D39" s="400"/>
      <c r="E39" s="400"/>
      <c r="F39" s="400"/>
      <c r="G39" s="400"/>
      <c r="H39" s="400"/>
      <c r="I39" s="400"/>
      <c r="J39" s="400"/>
      <c r="K39" s="400"/>
      <c r="L39" s="400"/>
      <c r="M39" s="400"/>
      <c r="N39" s="180"/>
    </row>
    <row r="40" spans="2:14">
      <c r="B40" s="180"/>
      <c r="C40" s="400"/>
      <c r="D40" s="400"/>
      <c r="E40" s="400"/>
      <c r="F40" s="400"/>
      <c r="G40" s="400"/>
      <c r="H40" s="400"/>
      <c r="I40" s="400"/>
      <c r="J40" s="400"/>
      <c r="K40" s="400"/>
      <c r="L40" s="400"/>
      <c r="M40" s="400"/>
      <c r="N40" s="180"/>
    </row>
    <row r="41" spans="2:14">
      <c r="B41" s="180"/>
      <c r="C41" s="400"/>
      <c r="D41" s="400"/>
      <c r="E41" s="400"/>
      <c r="F41" s="400"/>
      <c r="G41" s="400"/>
      <c r="H41" s="400"/>
      <c r="I41" s="400"/>
      <c r="J41" s="400"/>
      <c r="K41" s="400"/>
      <c r="L41" s="400"/>
      <c r="M41" s="400"/>
      <c r="N41" s="180"/>
    </row>
    <row r="42" spans="2:14">
      <c r="B42" s="180"/>
      <c r="C42" s="400"/>
      <c r="D42" s="400"/>
      <c r="E42" s="400"/>
      <c r="F42" s="400"/>
      <c r="G42" s="400"/>
      <c r="H42" s="400"/>
      <c r="I42" s="400"/>
      <c r="J42" s="400"/>
      <c r="K42" s="400"/>
      <c r="L42" s="400"/>
      <c r="M42" s="400"/>
      <c r="N42" s="180"/>
    </row>
    <row r="43" spans="2:14">
      <c r="B43" s="180"/>
      <c r="C43" s="180"/>
      <c r="D43" s="180"/>
      <c r="E43" s="180"/>
      <c r="F43" s="180"/>
      <c r="G43" s="180"/>
      <c r="H43" s="180"/>
      <c r="I43" s="180"/>
      <c r="J43" s="180"/>
      <c r="K43" s="180"/>
      <c r="L43" s="180"/>
      <c r="M43" s="180"/>
      <c r="N43" s="180"/>
    </row>
    <row r="44" spans="2:14">
      <c r="B44" s="180"/>
      <c r="C44" s="180"/>
      <c r="D44" s="180"/>
      <c r="E44" s="180"/>
      <c r="F44" s="180"/>
      <c r="G44" s="180"/>
      <c r="H44" s="180"/>
      <c r="I44" s="180"/>
      <c r="J44" s="180"/>
      <c r="K44" s="180"/>
      <c r="L44" s="180"/>
      <c r="M44" s="180"/>
      <c r="N44" s="180"/>
    </row>
  </sheetData>
  <mergeCells count="3">
    <mergeCell ref="B3:N3"/>
    <mergeCell ref="B4:N4"/>
    <mergeCell ref="C8:M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vt:i4>
      </vt:variant>
    </vt:vector>
  </HeadingPairs>
  <TitlesOfParts>
    <vt:vector size="12" baseType="lpstr">
      <vt:lpstr>Титульная страница</vt:lpstr>
      <vt:lpstr>Структура</vt:lpstr>
      <vt:lpstr>Входящие данные</vt:lpstr>
      <vt:lpstr>Этапы запуска Проекта</vt:lpstr>
      <vt:lpstr>Инвестиции на орг-цию бизнеса</vt:lpstr>
      <vt:lpstr>Ежемесячные затраты</vt:lpstr>
      <vt:lpstr>Продажи</vt:lpstr>
      <vt:lpstr>Прибыль_окупаемость</vt:lpstr>
      <vt:lpstr>Гибкость</vt:lpstr>
      <vt:lpstr>Глоссарий</vt:lpstr>
      <vt:lpstr>Допущения и ограничения</vt:lpstr>
      <vt:lpstr>'Титульная страница'!page1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Франчайзинг 5</dc:creator>
  <cp:lastModifiedBy>денис</cp:lastModifiedBy>
  <cp:lastPrinted>2016-11-02T09:16:40Z</cp:lastPrinted>
  <dcterms:created xsi:type="dcterms:W3CDTF">2015-06-28T20:32:06Z</dcterms:created>
  <dcterms:modified xsi:type="dcterms:W3CDTF">2018-11-11T13:45:32Z</dcterms:modified>
</cp:coreProperties>
</file>