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АтлетиКо\"/>
    </mc:Choice>
  </mc:AlternateContent>
  <xr:revisionPtr revIDLastSave="0" documentId="13_ncr:1_{21354261-21BA-4392-BD8C-6EBCAFAEC811}" xr6:coauthVersionLast="37" xr6:coauthVersionMax="37" xr10:uidLastSave="{00000000-0000-0000-0000-000000000000}"/>
  <bookViews>
    <workbookView xWindow="0" yWindow="0" windowWidth="28800" windowHeight="13638" activeTab="1" xr2:uid="{00000000-000D-0000-FFFF-FFFF00000000}"/>
  </bookViews>
  <sheets>
    <sheet name="Исходные данные" sheetId="6" r:id="rId1"/>
    <sheet name="Обобщенный расчет" sheetId="7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About_AI" localSheetId="0">#REF!</definedName>
    <definedName name="About_AI" localSheetId="1">#REF!</definedName>
    <definedName name="About_AI">#REF!</definedName>
    <definedName name="About_AI_Summ" localSheetId="0">#REF!</definedName>
    <definedName name="About_AI_Summ" localSheetId="1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1">[1]Проект!#REF!</definedName>
    <definedName name="EST_DATA">[1]Проект!#REF!</definedName>
    <definedName name="EST_FROM" localSheetId="0">[1]Проект!#REF!</definedName>
    <definedName name="EST_FROM" localSheetId="1">[1]Проект!#REF!</definedName>
    <definedName name="EST_FROM">[1]Проект!#REF!</definedName>
    <definedName name="EST_NumStages" localSheetId="0">[1]Проект!#REF!</definedName>
    <definedName name="EST_NumStages" localSheetId="1">[1]Проект!#REF!</definedName>
    <definedName name="EST_NumStages">[1]Проект!#REF!</definedName>
    <definedName name="EST_Obj_1" localSheetId="0">[1]Проект!#REF!</definedName>
    <definedName name="EST_Obj_1" localSheetId="1">[1]Проект!#REF!</definedName>
    <definedName name="EST_Obj_1">[1]Проект!#REF!</definedName>
    <definedName name="EST_Obj_10" localSheetId="0">[1]Проект!#REF!</definedName>
    <definedName name="EST_Obj_10" localSheetId="1">[1]Проект!#REF!</definedName>
    <definedName name="EST_Obj_10">[1]Проект!#REF!</definedName>
    <definedName name="EST_Obj_2" localSheetId="0">[1]Проект!#REF!</definedName>
    <definedName name="EST_Obj_2" localSheetId="1">[1]Проект!#REF!</definedName>
    <definedName name="EST_Obj_2">[1]Проект!#REF!</definedName>
    <definedName name="EST_Obj_3" localSheetId="0">[1]Проект!#REF!</definedName>
    <definedName name="EST_Obj_3" localSheetId="1">[1]Проект!#REF!</definedName>
    <definedName name="EST_Obj_3">[1]Проект!#REF!</definedName>
    <definedName name="EST_Obj_4" localSheetId="0">[1]Проект!#REF!</definedName>
    <definedName name="EST_Obj_4" localSheetId="1">[1]Проект!#REF!</definedName>
    <definedName name="EST_Obj_4">[1]Проект!#REF!</definedName>
    <definedName name="EST_Obj_5" localSheetId="0">[1]Проект!#REF!</definedName>
    <definedName name="EST_Obj_5" localSheetId="1">[1]Проект!#REF!</definedName>
    <definedName name="EST_Obj_5">[1]Проект!#REF!</definedName>
    <definedName name="EST_Obj_6" localSheetId="0">[1]Проект!#REF!</definedName>
    <definedName name="EST_Obj_6" localSheetId="1">[1]Проект!#REF!</definedName>
    <definedName name="EST_Obj_6">[1]Проект!#REF!</definedName>
    <definedName name="EST_Obj_7" localSheetId="0">[1]Проект!#REF!</definedName>
    <definedName name="EST_Obj_7" localSheetId="1">[1]Проект!#REF!</definedName>
    <definedName name="EST_Obj_7">[1]Проект!#REF!</definedName>
    <definedName name="EST_Obj_8" localSheetId="0">[1]Проект!#REF!</definedName>
    <definedName name="EST_Obj_8" localSheetId="1">[1]Проект!#REF!</definedName>
    <definedName name="EST_Obj_8">[1]Проект!#REF!</definedName>
    <definedName name="EST_Obj_9" localSheetId="0">[1]Проект!#REF!</definedName>
    <definedName name="EST_Obj_9" localSheetId="1">[1]Проект!#REF!</definedName>
    <definedName name="EST_Obj_9">[1]Проект!#REF!</definedName>
    <definedName name="EST_ProdNum" localSheetId="0">[1]Проект!#REF!</definedName>
    <definedName name="EST_ProdNum" localSheetId="1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1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1">[3]Отчет!#REF!</definedName>
    <definedName name="апи">[3]Отчет!#REF!</definedName>
    <definedName name="_xlnm.Print_Titles" localSheetId="2">'Детальный расчет'!$A:$B</definedName>
    <definedName name="и" localSheetId="0">[3]Отчет!#REF!</definedName>
    <definedName name="и" localSheetId="1">[3]Отчет!#REF!</definedName>
    <definedName name="и">[3]Отчет!#REF!</definedName>
    <definedName name="_xlnm.Print_Area" localSheetId="2">'Детальный расчет'!$A$5:$AS$96</definedName>
    <definedName name="_xlnm.Print_Area" localSheetId="0">'Исходные данные'!$A$2:$K$128</definedName>
    <definedName name="_xlnm.Print_Area" localSheetId="1">'Обобщенный расчет'!$A$1:$J$67</definedName>
    <definedName name="п" localSheetId="0">[3]Отчет!#REF!</definedName>
    <definedName name="п" localSheetId="1">[3]Отчет!#REF!</definedName>
    <definedName name="п">[3]Отчет!#REF!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69" i="6" l="1"/>
  <c r="D69" i="6" l="1"/>
  <c r="F69" i="6"/>
  <c r="D75" i="6"/>
  <c r="F75" i="6" l="1"/>
  <c r="I75" i="6"/>
  <c r="N7" i="4" l="1"/>
  <c r="M7" i="4"/>
  <c r="L7" i="4"/>
  <c r="K7" i="4"/>
  <c r="J7" i="4"/>
  <c r="I7" i="4"/>
  <c r="H7" i="4"/>
  <c r="G7" i="4"/>
  <c r="F7" i="4"/>
  <c r="E7" i="4"/>
  <c r="D7" i="4"/>
  <c r="C7" i="4"/>
  <c r="AU17" i="4"/>
  <c r="AU18" i="4"/>
  <c r="AU19" i="4"/>
  <c r="AU20" i="4"/>
  <c r="AU21" i="4"/>
  <c r="AU23" i="4"/>
  <c r="AU24" i="4"/>
  <c r="AU25" i="4"/>
  <c r="AU26" i="4"/>
  <c r="AU27" i="4"/>
  <c r="AU28" i="4"/>
  <c r="AU29" i="4"/>
  <c r="AU30" i="4"/>
  <c r="AU31" i="4"/>
  <c r="AU33" i="4"/>
  <c r="AU34" i="4"/>
  <c r="AU35" i="4"/>
  <c r="I7" i="7" l="1"/>
  <c r="B23" i="4"/>
  <c r="A23" i="4"/>
  <c r="A27" i="4" s="1"/>
  <c r="D42" i="7"/>
  <c r="D41" i="7"/>
  <c r="J30" i="7"/>
  <c r="I30" i="7"/>
  <c r="G34" i="7"/>
  <c r="G33" i="7"/>
  <c r="G31" i="7"/>
  <c r="G32" i="7"/>
  <c r="G30" i="7"/>
  <c r="E34" i="7"/>
  <c r="E33" i="7"/>
  <c r="D34" i="7"/>
  <c r="D33" i="7"/>
  <c r="D31" i="7"/>
  <c r="D32" i="7"/>
  <c r="D30" i="7"/>
  <c r="A34" i="7"/>
  <c r="A33" i="7"/>
  <c r="A31" i="7"/>
  <c r="A32" i="7"/>
  <c r="A30" i="7"/>
  <c r="I14" i="7"/>
  <c r="H14" i="7"/>
  <c r="F9" i="7"/>
  <c r="F10" i="7"/>
  <c r="F11" i="7"/>
  <c r="F12" i="7"/>
  <c r="F13" i="7"/>
  <c r="F8" i="7"/>
  <c r="A8" i="7"/>
  <c r="D7" i="7"/>
  <c r="D12" i="6"/>
  <c r="C12" i="6"/>
  <c r="C36" i="6"/>
  <c r="D24" i="6"/>
  <c r="D36" i="6" s="1"/>
  <c r="A9" i="7"/>
  <c r="A10" i="7"/>
  <c r="A11" i="7"/>
  <c r="A12" i="7"/>
  <c r="A13" i="7"/>
  <c r="A14" i="7"/>
  <c r="O3" i="7"/>
  <c r="J127" i="6"/>
  <c r="J126" i="6"/>
  <c r="J125" i="6"/>
  <c r="J120" i="6"/>
  <c r="J119" i="6"/>
  <c r="J118" i="6"/>
  <c r="J117" i="6"/>
  <c r="J116" i="6"/>
  <c r="J115" i="6"/>
  <c r="J114" i="6"/>
  <c r="J113" i="6"/>
  <c r="J112" i="6"/>
  <c r="J109" i="6"/>
  <c r="J108" i="6"/>
  <c r="F103" i="6"/>
  <c r="F102" i="6"/>
  <c r="F101" i="6"/>
  <c r="F100" i="6"/>
  <c r="F99" i="6"/>
  <c r="I77" i="6"/>
  <c r="F77" i="6"/>
  <c r="D77" i="6"/>
  <c r="J76" i="6"/>
  <c r="J75" i="6"/>
  <c r="J74" i="6"/>
  <c r="J73" i="6"/>
  <c r="J72" i="6"/>
  <c r="J71" i="6"/>
  <c r="J70" i="6"/>
  <c r="J69" i="6"/>
  <c r="J68" i="6"/>
  <c r="F48" i="6"/>
  <c r="E48" i="6"/>
  <c r="J48" i="6" s="1"/>
  <c r="A10" i="6"/>
  <c r="A22" i="6"/>
  <c r="A34" i="6"/>
  <c r="J43" i="6"/>
  <c r="H42" i="6"/>
  <c r="J42" i="6" s="1"/>
  <c r="D42" i="6"/>
  <c r="H41" i="6"/>
  <c r="J41" i="6" s="1"/>
  <c r="D41" i="6"/>
  <c r="H40" i="6"/>
  <c r="J40" i="6" s="1"/>
  <c r="D40" i="6"/>
  <c r="H39" i="6"/>
  <c r="J39" i="6" s="1"/>
  <c r="D39" i="6"/>
  <c r="H38" i="6"/>
  <c r="J38" i="6" s="1"/>
  <c r="D38" i="6"/>
  <c r="H37" i="6"/>
  <c r="J37" i="6" s="1"/>
  <c r="D37" i="6"/>
  <c r="J36" i="6"/>
  <c r="J31" i="6"/>
  <c r="H30" i="6"/>
  <c r="J30" i="6" s="1"/>
  <c r="D30" i="6"/>
  <c r="H29" i="6"/>
  <c r="J29" i="6" s="1"/>
  <c r="D29" i="6"/>
  <c r="H28" i="6"/>
  <c r="J28" i="6" s="1"/>
  <c r="D28" i="6"/>
  <c r="H27" i="6"/>
  <c r="J27" i="6" s="1"/>
  <c r="D27" i="6"/>
  <c r="H26" i="6"/>
  <c r="J26" i="6" s="1"/>
  <c r="D26" i="6"/>
  <c r="H25" i="6"/>
  <c r="D25" i="6"/>
  <c r="J24" i="6"/>
  <c r="J19" i="6"/>
  <c r="H14" i="6"/>
  <c r="J14" i="6" s="1"/>
  <c r="H15" i="6"/>
  <c r="J15" i="6" s="1"/>
  <c r="H16" i="6"/>
  <c r="J16" i="6" s="1"/>
  <c r="H17" i="6"/>
  <c r="J17" i="6" s="1"/>
  <c r="H18" i="6"/>
  <c r="J18" i="6" s="1"/>
  <c r="H13" i="6"/>
  <c r="J12" i="6"/>
  <c r="D14" i="6"/>
  <c r="D9" i="7" s="1"/>
  <c r="D15" i="6"/>
  <c r="D10" i="7" s="1"/>
  <c r="D16" i="6"/>
  <c r="D11" i="7" s="1"/>
  <c r="D17" i="6"/>
  <c r="D12" i="7" s="1"/>
  <c r="D18" i="6"/>
  <c r="D13" i="7" s="1"/>
  <c r="D13" i="6"/>
  <c r="D8" i="7" s="1"/>
  <c r="I11" i="7" l="1"/>
  <c r="AU32" i="4"/>
  <c r="I10" i="7"/>
  <c r="H32" i="6"/>
  <c r="I13" i="7"/>
  <c r="I8" i="7"/>
  <c r="I9" i="7"/>
  <c r="I12" i="7"/>
  <c r="J77" i="6"/>
  <c r="H20" i="6"/>
  <c r="J13" i="6"/>
  <c r="J20" i="6"/>
  <c r="J44" i="6"/>
  <c r="H44" i="6"/>
  <c r="J25" i="6"/>
  <c r="J32" i="6" s="1"/>
  <c r="H88" i="6"/>
  <c r="G29" i="7" l="1"/>
  <c r="H97" i="6"/>
  <c r="I15" i="7"/>
  <c r="B27" i="4"/>
  <c r="J38" i="7" l="1"/>
  <c r="A22" i="4"/>
  <c r="A21" i="4"/>
  <c r="A20" i="4"/>
  <c r="A19" i="4"/>
  <c r="A18" i="4"/>
  <c r="B53" i="4"/>
  <c r="A53" i="4"/>
  <c r="B22" i="4"/>
  <c r="A17" i="4"/>
  <c r="H63" i="7"/>
  <c r="H61" i="7"/>
  <c r="H5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39" i="7"/>
  <c r="I26" i="7"/>
  <c r="E29" i="7"/>
  <c r="I18" i="7"/>
  <c r="I19" i="7"/>
  <c r="I20" i="7"/>
  <c r="I21" i="7"/>
  <c r="I22" i="7"/>
  <c r="I23" i="7"/>
  <c r="I24" i="7"/>
  <c r="I25" i="7"/>
  <c r="B44" i="7"/>
  <c r="B45" i="7"/>
  <c r="B43" i="7"/>
  <c r="G115" i="6" l="1"/>
  <c r="E115" i="6"/>
  <c r="E108" i="6"/>
  <c r="Q53" i="4" l="1"/>
  <c r="I53" i="4"/>
  <c r="W53" i="4"/>
  <c r="AK53" i="4"/>
  <c r="C53" i="4"/>
  <c r="AE53" i="4"/>
  <c r="O53" i="4" l="1"/>
  <c r="P53" i="4" s="1"/>
  <c r="G46" i="7" s="1"/>
  <c r="AQ53" i="4"/>
  <c r="AR53" i="4" s="1"/>
  <c r="AC53" i="4"/>
  <c r="AD53" i="4" s="1"/>
  <c r="G126" i="6"/>
  <c r="G127" i="6"/>
  <c r="G125" i="6"/>
  <c r="G113" i="6"/>
  <c r="G114" i="6"/>
  <c r="G116" i="6"/>
  <c r="G117" i="6"/>
  <c r="G118" i="6"/>
  <c r="G119" i="6"/>
  <c r="G120" i="6"/>
  <c r="G112" i="6"/>
  <c r="G109" i="6"/>
  <c r="E126" i="6"/>
  <c r="G54" i="7" s="1"/>
  <c r="E127" i="6"/>
  <c r="G55" i="7" s="1"/>
  <c r="E125" i="6"/>
  <c r="E113" i="6"/>
  <c r="G44" i="7" s="1"/>
  <c r="E114" i="6"/>
  <c r="G45" i="7" s="1"/>
  <c r="E116" i="6"/>
  <c r="G47" i="7" s="1"/>
  <c r="E117" i="6"/>
  <c r="G48" i="7" s="1"/>
  <c r="E118" i="6"/>
  <c r="G49" i="7" s="1"/>
  <c r="E119" i="6"/>
  <c r="G50" i="7" s="1"/>
  <c r="E120" i="6"/>
  <c r="G51" i="7" s="1"/>
  <c r="E112" i="6"/>
  <c r="G43" i="7" s="1"/>
  <c r="E109" i="6"/>
  <c r="G40" i="7" s="1"/>
  <c r="G70" i="6"/>
  <c r="G71" i="6"/>
  <c r="G72" i="6"/>
  <c r="G73" i="6"/>
  <c r="G74" i="6"/>
  <c r="G75" i="6"/>
  <c r="G76" i="6"/>
  <c r="G69" i="6"/>
  <c r="E70" i="6"/>
  <c r="E71" i="6"/>
  <c r="E72" i="6"/>
  <c r="E73" i="6"/>
  <c r="E74" i="6"/>
  <c r="E75" i="6"/>
  <c r="E76" i="6"/>
  <c r="E69" i="6"/>
  <c r="D18" i="7" s="1"/>
  <c r="F91" i="6"/>
  <c r="F92" i="6"/>
  <c r="F93" i="6"/>
  <c r="F94" i="6"/>
  <c r="F90" i="6"/>
  <c r="F84" i="6"/>
  <c r="E31" i="7" s="1"/>
  <c r="F85" i="6"/>
  <c r="E32" i="7" s="1"/>
  <c r="F83" i="6"/>
  <c r="E30" i="7" s="1"/>
  <c r="E88" i="6"/>
  <c r="E97" i="6" s="1"/>
  <c r="AS53" i="4" l="1"/>
  <c r="D24" i="7"/>
  <c r="C37" i="4" s="1"/>
  <c r="D20" i="7"/>
  <c r="C33" i="4" s="1"/>
  <c r="AP58" i="4"/>
  <c r="AL58" i="4"/>
  <c r="AH58" i="4"/>
  <c r="AB58" i="4"/>
  <c r="X58" i="4"/>
  <c r="T58" i="4"/>
  <c r="AO58" i="4"/>
  <c r="AK58" i="4"/>
  <c r="AG58" i="4"/>
  <c r="AA58" i="4"/>
  <c r="W58" i="4"/>
  <c r="S58" i="4"/>
  <c r="AN58" i="4"/>
  <c r="AF58" i="4"/>
  <c r="V58" i="4"/>
  <c r="E58" i="4"/>
  <c r="I58" i="4"/>
  <c r="M58" i="4"/>
  <c r="AM58" i="4"/>
  <c r="AE58" i="4"/>
  <c r="U58" i="4"/>
  <c r="F58" i="4"/>
  <c r="J58" i="4"/>
  <c r="N58" i="4"/>
  <c r="AJ58" i="4"/>
  <c r="Z58" i="4"/>
  <c r="G58" i="4"/>
  <c r="C58" i="4"/>
  <c r="AI58" i="4"/>
  <c r="Y58" i="4"/>
  <c r="H58" i="4"/>
  <c r="R58" i="4"/>
  <c r="K58" i="4"/>
  <c r="D58" i="4"/>
  <c r="Q58" i="4"/>
  <c r="L58" i="4"/>
  <c r="AP54" i="4"/>
  <c r="AL54" i="4"/>
  <c r="AH54" i="4"/>
  <c r="AB54" i="4"/>
  <c r="X54" i="4"/>
  <c r="T54" i="4"/>
  <c r="AO54" i="4"/>
  <c r="AK54" i="4"/>
  <c r="AG54" i="4"/>
  <c r="AA54" i="4"/>
  <c r="W54" i="4"/>
  <c r="S54" i="4"/>
  <c r="AN54" i="4"/>
  <c r="AF54" i="4"/>
  <c r="V54" i="4"/>
  <c r="E54" i="4"/>
  <c r="I54" i="4"/>
  <c r="M54" i="4"/>
  <c r="AM54" i="4"/>
  <c r="AE54" i="4"/>
  <c r="U54" i="4"/>
  <c r="F54" i="4"/>
  <c r="J54" i="4"/>
  <c r="N54" i="4"/>
  <c r="AJ54" i="4"/>
  <c r="Z54" i="4"/>
  <c r="K54" i="4"/>
  <c r="C54" i="4"/>
  <c r="AI54" i="4"/>
  <c r="Y54" i="4"/>
  <c r="D54" i="4"/>
  <c r="L54" i="4"/>
  <c r="R54" i="4"/>
  <c r="G54" i="4"/>
  <c r="H54" i="4"/>
  <c r="Q54" i="4"/>
  <c r="AP62" i="4"/>
  <c r="AL62" i="4"/>
  <c r="AH62" i="4"/>
  <c r="AB62" i="4"/>
  <c r="X62" i="4"/>
  <c r="T62" i="4"/>
  <c r="AO62" i="4"/>
  <c r="AK62" i="4"/>
  <c r="AG62" i="4"/>
  <c r="AA62" i="4"/>
  <c r="W62" i="4"/>
  <c r="S62" i="4"/>
  <c r="AN62" i="4"/>
  <c r="AF62" i="4"/>
  <c r="V62" i="4"/>
  <c r="AM62" i="4"/>
  <c r="AE62" i="4"/>
  <c r="U62" i="4"/>
  <c r="AJ62" i="4"/>
  <c r="Z62" i="4"/>
  <c r="F62" i="4"/>
  <c r="J62" i="4"/>
  <c r="N62" i="4"/>
  <c r="AI62" i="4"/>
  <c r="Y62" i="4"/>
  <c r="G62" i="4"/>
  <c r="K62" i="4"/>
  <c r="C62" i="4"/>
  <c r="R62" i="4"/>
  <c r="D62" i="4"/>
  <c r="H62" i="4"/>
  <c r="E62" i="4"/>
  <c r="I62" i="4"/>
  <c r="L62" i="4"/>
  <c r="Q62" i="4"/>
  <c r="M62" i="4"/>
  <c r="D23" i="7"/>
  <c r="C36" i="4" s="1"/>
  <c r="D19" i="7"/>
  <c r="C32" i="4" s="1"/>
  <c r="AP57" i="4"/>
  <c r="AL57" i="4"/>
  <c r="AH57" i="4"/>
  <c r="AB57" i="4"/>
  <c r="X57" i="4"/>
  <c r="T57" i="4"/>
  <c r="AO57" i="4"/>
  <c r="AK57" i="4"/>
  <c r="AG57" i="4"/>
  <c r="AA57" i="4"/>
  <c r="W57" i="4"/>
  <c r="S57" i="4"/>
  <c r="AJ57" i="4"/>
  <c r="Z57" i="4"/>
  <c r="R57" i="4"/>
  <c r="D57" i="4"/>
  <c r="H57" i="4"/>
  <c r="L57" i="4"/>
  <c r="AI57" i="4"/>
  <c r="Y57" i="4"/>
  <c r="Q57" i="4"/>
  <c r="E57" i="4"/>
  <c r="I57" i="4"/>
  <c r="M57" i="4"/>
  <c r="AF57" i="4"/>
  <c r="V57" i="4"/>
  <c r="J57" i="4"/>
  <c r="AE57" i="4"/>
  <c r="U57" i="4"/>
  <c r="K57" i="4"/>
  <c r="C57" i="4"/>
  <c r="AN57" i="4"/>
  <c r="F57" i="4"/>
  <c r="N57" i="4"/>
  <c r="G57" i="4"/>
  <c r="AM57" i="4"/>
  <c r="AP52" i="4"/>
  <c r="AL52" i="4"/>
  <c r="AH52" i="4"/>
  <c r="AB52" i="4"/>
  <c r="X52" i="4"/>
  <c r="T52" i="4"/>
  <c r="AO52" i="4"/>
  <c r="AK52" i="4"/>
  <c r="AG52" i="4"/>
  <c r="AA52" i="4"/>
  <c r="W52" i="4"/>
  <c r="S52" i="4"/>
  <c r="AN52" i="4"/>
  <c r="AF52" i="4"/>
  <c r="V52" i="4"/>
  <c r="G52" i="4"/>
  <c r="K52" i="4"/>
  <c r="AM52" i="4"/>
  <c r="AE52" i="4"/>
  <c r="U52" i="4"/>
  <c r="D52" i="4"/>
  <c r="H52" i="4"/>
  <c r="L52" i="4"/>
  <c r="R52" i="4"/>
  <c r="I52" i="4"/>
  <c r="Q52" i="4"/>
  <c r="J52" i="4"/>
  <c r="AJ52" i="4"/>
  <c r="Z52" i="4"/>
  <c r="E52" i="4"/>
  <c r="M52" i="4"/>
  <c r="C52" i="4"/>
  <c r="F52" i="4"/>
  <c r="Y52" i="4"/>
  <c r="N52" i="4"/>
  <c r="AI52" i="4"/>
  <c r="AP61" i="4"/>
  <c r="AL61" i="4"/>
  <c r="AH61" i="4"/>
  <c r="AB61" i="4"/>
  <c r="X61" i="4"/>
  <c r="T61" i="4"/>
  <c r="AO61" i="4"/>
  <c r="AK61" i="4"/>
  <c r="AG61" i="4"/>
  <c r="AA61" i="4"/>
  <c r="W61" i="4"/>
  <c r="S61" i="4"/>
  <c r="AJ61" i="4"/>
  <c r="Z61" i="4"/>
  <c r="R61" i="4"/>
  <c r="AI61" i="4"/>
  <c r="Y61" i="4"/>
  <c r="Q61" i="4"/>
  <c r="E61" i="4"/>
  <c r="AF61" i="4"/>
  <c r="V61" i="4"/>
  <c r="D61" i="4"/>
  <c r="I61" i="4"/>
  <c r="M61" i="4"/>
  <c r="AE61" i="4"/>
  <c r="U61" i="4"/>
  <c r="F61" i="4"/>
  <c r="J61" i="4"/>
  <c r="N61" i="4"/>
  <c r="AN61" i="4"/>
  <c r="G61" i="4"/>
  <c r="K61" i="4"/>
  <c r="AM61" i="4"/>
  <c r="C61" i="4"/>
  <c r="H61" i="4"/>
  <c r="L61" i="4"/>
  <c r="D22" i="7"/>
  <c r="C35" i="4" s="1"/>
  <c r="AP47" i="4"/>
  <c r="AL47" i="4"/>
  <c r="AH47" i="4"/>
  <c r="AB47" i="4"/>
  <c r="AO47" i="4"/>
  <c r="AK47" i="4"/>
  <c r="AG47" i="4"/>
  <c r="AJ47" i="4"/>
  <c r="Y47" i="4"/>
  <c r="U47" i="4"/>
  <c r="Q47" i="4"/>
  <c r="D47" i="4"/>
  <c r="H47" i="4"/>
  <c r="L47" i="4"/>
  <c r="AI47" i="4"/>
  <c r="X47" i="4"/>
  <c r="T47" i="4"/>
  <c r="E47" i="4"/>
  <c r="I47" i="4"/>
  <c r="M47" i="4"/>
  <c r="AF47" i="4"/>
  <c r="AA47" i="4"/>
  <c r="S47" i="4"/>
  <c r="J47" i="4"/>
  <c r="AE47" i="4"/>
  <c r="Z47" i="4"/>
  <c r="R47" i="4"/>
  <c r="K47" i="4"/>
  <c r="C47" i="4"/>
  <c r="AN47" i="4"/>
  <c r="W47" i="4"/>
  <c r="F47" i="4"/>
  <c r="N47" i="4"/>
  <c r="AM47" i="4"/>
  <c r="V47" i="4"/>
  <c r="G47" i="4"/>
  <c r="G56" i="4"/>
  <c r="K56" i="4"/>
  <c r="D56" i="4"/>
  <c r="H56" i="4"/>
  <c r="L56" i="4"/>
  <c r="E56" i="4"/>
  <c r="M56" i="4"/>
  <c r="F56" i="4"/>
  <c r="N56" i="4"/>
  <c r="I56" i="4"/>
  <c r="C56" i="4"/>
  <c r="J56" i="4"/>
  <c r="D25" i="7"/>
  <c r="C38" i="4" s="1"/>
  <c r="D21" i="7"/>
  <c r="C34" i="4" s="1"/>
  <c r="AP55" i="4"/>
  <c r="AL55" i="4"/>
  <c r="AH55" i="4"/>
  <c r="AB55" i="4"/>
  <c r="X55" i="4"/>
  <c r="T55" i="4"/>
  <c r="AO55" i="4"/>
  <c r="AK55" i="4"/>
  <c r="AG55" i="4"/>
  <c r="AA55" i="4"/>
  <c r="W55" i="4"/>
  <c r="S55" i="4"/>
  <c r="AJ55" i="4"/>
  <c r="Z55" i="4"/>
  <c r="R55" i="4"/>
  <c r="F55" i="4"/>
  <c r="J55" i="4"/>
  <c r="N55" i="4"/>
  <c r="AI55" i="4"/>
  <c r="Y55" i="4"/>
  <c r="Q55" i="4"/>
  <c r="G55" i="4"/>
  <c r="K55" i="4"/>
  <c r="AN55" i="4"/>
  <c r="H55" i="4"/>
  <c r="AM55" i="4"/>
  <c r="I55" i="4"/>
  <c r="AF55" i="4"/>
  <c r="V55" i="4"/>
  <c r="D55" i="4"/>
  <c r="L55" i="4"/>
  <c r="U55" i="4"/>
  <c r="AE55" i="4"/>
  <c r="E55" i="4"/>
  <c r="M55" i="4"/>
  <c r="C55" i="4"/>
  <c r="M51" i="4"/>
  <c r="F51" i="4"/>
  <c r="J51" i="4"/>
  <c r="N51" i="4"/>
  <c r="C51" i="4"/>
  <c r="H51" i="4"/>
  <c r="L51" i="4"/>
  <c r="I51" i="4"/>
  <c r="G51" i="4"/>
  <c r="K51" i="4"/>
  <c r="D51" i="4"/>
  <c r="E51" i="4"/>
  <c r="E50" i="4"/>
  <c r="I50" i="4"/>
  <c r="M50" i="4"/>
  <c r="F50" i="4"/>
  <c r="J50" i="4"/>
  <c r="N50" i="4"/>
  <c r="C50" i="4"/>
  <c r="G50" i="4"/>
  <c r="K50" i="4"/>
  <c r="D50" i="4"/>
  <c r="H50" i="4"/>
  <c r="L50" i="4"/>
  <c r="G77" i="6"/>
  <c r="C31" i="4"/>
  <c r="E77" i="6"/>
  <c r="E89" i="6"/>
  <c r="E98" i="6" s="1"/>
  <c r="D68" i="6"/>
  <c r="F68" i="6" s="1"/>
  <c r="I68" i="6" s="1"/>
  <c r="G50" i="6"/>
  <c r="G51" i="6"/>
  <c r="G52" i="6"/>
  <c r="G53" i="6"/>
  <c r="G54" i="6"/>
  <c r="G55" i="6"/>
  <c r="G56" i="6"/>
  <c r="G57" i="6"/>
  <c r="G58" i="6"/>
  <c r="G59" i="6"/>
  <c r="G60" i="6"/>
  <c r="G49" i="6"/>
  <c r="D26" i="7" l="1"/>
  <c r="P3" i="6"/>
  <c r="F82" i="6" l="1"/>
  <c r="F89" i="6" s="1"/>
  <c r="F98" i="6" s="1"/>
  <c r="B20" i="7"/>
  <c r="A33" i="4" s="1"/>
  <c r="AQ32" i="4"/>
  <c r="AC32" i="4"/>
  <c r="AF11" i="4"/>
  <c r="AF51" i="4" s="1"/>
  <c r="AG11" i="4"/>
  <c r="AG51" i="4" s="1"/>
  <c r="AH11" i="4"/>
  <c r="AH51" i="4" s="1"/>
  <c r="AI11" i="4"/>
  <c r="AI51" i="4" s="1"/>
  <c r="AJ11" i="4"/>
  <c r="AJ51" i="4" s="1"/>
  <c r="AK11" i="4"/>
  <c r="AK51" i="4" s="1"/>
  <c r="AL11" i="4"/>
  <c r="AL51" i="4" s="1"/>
  <c r="AM11" i="4"/>
  <c r="AM51" i="4" s="1"/>
  <c r="AN11" i="4"/>
  <c r="AN51" i="4" s="1"/>
  <c r="AO11" i="4"/>
  <c r="AO51" i="4" s="1"/>
  <c r="AP11" i="4"/>
  <c r="AP51" i="4" s="1"/>
  <c r="AF12" i="4"/>
  <c r="AF56" i="4" s="1"/>
  <c r="AG12" i="4"/>
  <c r="AG56" i="4" s="1"/>
  <c r="AH12" i="4"/>
  <c r="AH56" i="4" s="1"/>
  <c r="AI12" i="4"/>
  <c r="AI56" i="4" s="1"/>
  <c r="AJ12" i="4"/>
  <c r="AJ56" i="4" s="1"/>
  <c r="AK12" i="4"/>
  <c r="AK56" i="4" s="1"/>
  <c r="AL12" i="4"/>
  <c r="AL56" i="4" s="1"/>
  <c r="AM12" i="4"/>
  <c r="AM56" i="4" s="1"/>
  <c r="AN12" i="4"/>
  <c r="AN56" i="4" s="1"/>
  <c r="AO12" i="4"/>
  <c r="AO56" i="4" s="1"/>
  <c r="AP12" i="4"/>
  <c r="AP56" i="4" s="1"/>
  <c r="AF13" i="4"/>
  <c r="AG13" i="4"/>
  <c r="AH13" i="4"/>
  <c r="AI13" i="4"/>
  <c r="AJ13" i="4"/>
  <c r="AK13" i="4"/>
  <c r="AL13" i="4"/>
  <c r="AM13" i="4"/>
  <c r="AN13" i="4"/>
  <c r="AO13" i="4"/>
  <c r="AP13" i="4"/>
  <c r="AE13" i="4"/>
  <c r="AE12" i="4"/>
  <c r="AE56" i="4" s="1"/>
  <c r="AE11" i="4"/>
  <c r="AE51" i="4" s="1"/>
  <c r="R11" i="4"/>
  <c r="R51" i="4" s="1"/>
  <c r="S11" i="4"/>
  <c r="S51" i="4" s="1"/>
  <c r="T11" i="4"/>
  <c r="T51" i="4" s="1"/>
  <c r="U11" i="4"/>
  <c r="U51" i="4" s="1"/>
  <c r="V11" i="4"/>
  <c r="V51" i="4" s="1"/>
  <c r="W11" i="4"/>
  <c r="W51" i="4" s="1"/>
  <c r="X11" i="4"/>
  <c r="X51" i="4" s="1"/>
  <c r="Y11" i="4"/>
  <c r="Y51" i="4" s="1"/>
  <c r="Z11" i="4"/>
  <c r="Z51" i="4" s="1"/>
  <c r="AA11" i="4"/>
  <c r="AA51" i="4" s="1"/>
  <c r="AB11" i="4"/>
  <c r="AB51" i="4" s="1"/>
  <c r="R12" i="4"/>
  <c r="R56" i="4" s="1"/>
  <c r="S12" i="4"/>
  <c r="S56" i="4" s="1"/>
  <c r="T12" i="4"/>
  <c r="T56" i="4" s="1"/>
  <c r="U12" i="4"/>
  <c r="U56" i="4" s="1"/>
  <c r="V12" i="4"/>
  <c r="V56" i="4" s="1"/>
  <c r="W12" i="4"/>
  <c r="W56" i="4" s="1"/>
  <c r="X12" i="4"/>
  <c r="X56" i="4" s="1"/>
  <c r="Y12" i="4"/>
  <c r="Y56" i="4" s="1"/>
  <c r="Z12" i="4"/>
  <c r="Z56" i="4" s="1"/>
  <c r="AA12" i="4"/>
  <c r="AA56" i="4" s="1"/>
  <c r="AB12" i="4"/>
  <c r="AB56" i="4" s="1"/>
  <c r="R13" i="4"/>
  <c r="S13" i="4"/>
  <c r="T13" i="4"/>
  <c r="U13" i="4"/>
  <c r="V13" i="4"/>
  <c r="W13" i="4"/>
  <c r="X13" i="4"/>
  <c r="Y13" i="4"/>
  <c r="Z13" i="4"/>
  <c r="AA13" i="4"/>
  <c r="AB13" i="4"/>
  <c r="Q13" i="4"/>
  <c r="Q12" i="4"/>
  <c r="Q56" i="4" s="1"/>
  <c r="Q11" i="4"/>
  <c r="Q51" i="4" s="1"/>
  <c r="AS30" i="4" l="1"/>
  <c r="AR30" i="4"/>
  <c r="AQ30" i="4"/>
  <c r="AC30" i="4"/>
  <c r="AD30" i="4"/>
  <c r="P30" i="4"/>
  <c r="O30" i="4"/>
  <c r="P41" i="4"/>
  <c r="O41" i="4"/>
  <c r="P65" i="4"/>
  <c r="O65" i="4"/>
  <c r="P75" i="4"/>
  <c r="O75" i="4"/>
  <c r="G122" i="6"/>
  <c r="J122" i="6" s="1"/>
  <c r="G121" i="6"/>
  <c r="J121" i="6" s="1"/>
  <c r="D29" i="7" l="1"/>
  <c r="B50" i="7" l="1"/>
  <c r="L6" i="7"/>
  <c r="F108" i="6"/>
  <c r="I108" i="6" s="1"/>
  <c r="B86" i="4" l="1"/>
  <c r="AN86" i="4" s="1"/>
  <c r="I86" i="4" l="1"/>
  <c r="W86" i="4"/>
  <c r="AA86" i="4"/>
  <c r="M86" i="4"/>
  <c r="E86" i="4"/>
  <c r="AG86" i="4"/>
  <c r="S86" i="4"/>
  <c r="AK86" i="4"/>
  <c r="L86" i="4"/>
  <c r="H86" i="4"/>
  <c r="D86" i="4"/>
  <c r="T86" i="4"/>
  <c r="X86" i="4"/>
  <c r="AB86" i="4"/>
  <c r="AH86" i="4"/>
  <c r="AL86" i="4"/>
  <c r="AP86" i="4"/>
  <c r="C86" i="4"/>
  <c r="K86" i="4"/>
  <c r="G86" i="4"/>
  <c r="Q86" i="4"/>
  <c r="U86" i="4"/>
  <c r="Y86" i="4"/>
  <c r="AE86" i="4"/>
  <c r="AI86" i="4"/>
  <c r="AM86" i="4"/>
  <c r="AO86" i="4"/>
  <c r="N86" i="4"/>
  <c r="J86" i="4"/>
  <c r="F86" i="4"/>
  <c r="R86" i="4"/>
  <c r="V86" i="4"/>
  <c r="Z86" i="4"/>
  <c r="AF86" i="4"/>
  <c r="AJ86" i="4"/>
  <c r="AF7" i="4" l="1"/>
  <c r="AG7" i="4"/>
  <c r="AH7" i="4"/>
  <c r="AI7" i="4"/>
  <c r="AJ7" i="4"/>
  <c r="AK7" i="4"/>
  <c r="AL7" i="4"/>
  <c r="AM7" i="4"/>
  <c r="AN7" i="4"/>
  <c r="AO7" i="4"/>
  <c r="AP7" i="4"/>
  <c r="AF9" i="4"/>
  <c r="AG9" i="4"/>
  <c r="AH9" i="4"/>
  <c r="AI9" i="4"/>
  <c r="AJ9" i="4"/>
  <c r="AK9" i="4"/>
  <c r="AL9" i="4"/>
  <c r="AM9" i="4"/>
  <c r="AN9" i="4"/>
  <c r="AO9" i="4"/>
  <c r="AP9" i="4"/>
  <c r="AF10" i="4"/>
  <c r="AF50" i="4" s="1"/>
  <c r="AG10" i="4"/>
  <c r="AG50" i="4" s="1"/>
  <c r="AH10" i="4"/>
  <c r="AH50" i="4" s="1"/>
  <c r="AI10" i="4"/>
  <c r="AI50" i="4" s="1"/>
  <c r="AJ10" i="4"/>
  <c r="AJ50" i="4" s="1"/>
  <c r="AK10" i="4"/>
  <c r="AK50" i="4" s="1"/>
  <c r="AL10" i="4"/>
  <c r="AL50" i="4" s="1"/>
  <c r="AM10" i="4"/>
  <c r="AM50" i="4" s="1"/>
  <c r="AN10" i="4"/>
  <c r="AN50" i="4" s="1"/>
  <c r="AO10" i="4"/>
  <c r="AO50" i="4" s="1"/>
  <c r="AP10" i="4"/>
  <c r="AP50" i="4" s="1"/>
  <c r="AE10" i="4"/>
  <c r="AE50" i="4" s="1"/>
  <c r="AE9" i="4"/>
  <c r="AE7" i="4"/>
  <c r="R7" i="4"/>
  <c r="S7" i="4"/>
  <c r="T7" i="4"/>
  <c r="U7" i="4"/>
  <c r="V7" i="4"/>
  <c r="W7" i="4"/>
  <c r="X7" i="4"/>
  <c r="Y7" i="4"/>
  <c r="Z7" i="4"/>
  <c r="AA7" i="4"/>
  <c r="AB7" i="4"/>
  <c r="R9" i="4"/>
  <c r="S9" i="4"/>
  <c r="T9" i="4"/>
  <c r="U9" i="4"/>
  <c r="V9" i="4"/>
  <c r="W9" i="4"/>
  <c r="X9" i="4"/>
  <c r="Y9" i="4"/>
  <c r="Z9" i="4"/>
  <c r="AA9" i="4"/>
  <c r="AB9" i="4"/>
  <c r="R10" i="4"/>
  <c r="R50" i="4" s="1"/>
  <c r="S10" i="4"/>
  <c r="S50" i="4" s="1"/>
  <c r="T10" i="4"/>
  <c r="T50" i="4" s="1"/>
  <c r="U10" i="4"/>
  <c r="U50" i="4" s="1"/>
  <c r="V10" i="4"/>
  <c r="V50" i="4" s="1"/>
  <c r="W10" i="4"/>
  <c r="W50" i="4" s="1"/>
  <c r="X10" i="4"/>
  <c r="X50" i="4" s="1"/>
  <c r="Y10" i="4"/>
  <c r="Y50" i="4" s="1"/>
  <c r="Z10" i="4"/>
  <c r="Z50" i="4" s="1"/>
  <c r="AA10" i="4"/>
  <c r="AA50" i="4" s="1"/>
  <c r="AB10" i="4"/>
  <c r="AB50" i="4" s="1"/>
  <c r="Q10" i="4"/>
  <c r="Q50" i="4" s="1"/>
  <c r="Q9" i="4"/>
  <c r="Q7" i="4"/>
  <c r="K48" i="6"/>
  <c r="I67" i="6" s="1"/>
  <c r="A96" i="6" s="1"/>
  <c r="I107" i="6" s="1"/>
  <c r="D48" i="6"/>
  <c r="I48" i="6" s="1"/>
  <c r="A49" i="4" l="1"/>
  <c r="A59" i="4"/>
  <c r="A48" i="4"/>
  <c r="A47" i="4"/>
  <c r="A46" i="4"/>
  <c r="O37" i="4"/>
  <c r="O36" i="4"/>
  <c r="O35" i="4"/>
  <c r="O34" i="4"/>
  <c r="A38" i="4"/>
  <c r="A37" i="4"/>
  <c r="A36" i="4"/>
  <c r="A35" i="4"/>
  <c r="A34" i="4"/>
  <c r="B19" i="7"/>
  <c r="A32" i="4" s="1"/>
  <c r="C3" i="4"/>
  <c r="C8" i="4" s="1"/>
  <c r="O2" i="7"/>
  <c r="D67" i="6"/>
  <c r="A62" i="4"/>
  <c r="A61" i="4"/>
  <c r="A60" i="4"/>
  <c r="A58" i="4"/>
  <c r="A57" i="4"/>
  <c r="A56" i="4"/>
  <c r="A55" i="4"/>
  <c r="A54" i="4"/>
  <c r="A52" i="4"/>
  <c r="A51" i="4"/>
  <c r="A50" i="4"/>
  <c r="AQ36" i="4"/>
  <c r="AQ35" i="4"/>
  <c r="AQ34" i="4"/>
  <c r="AC36" i="4"/>
  <c r="AC35" i="4"/>
  <c r="AC34" i="4"/>
  <c r="B18" i="7"/>
  <c r="A31" i="4" s="1"/>
  <c r="F67" i="6"/>
  <c r="A87" i="6"/>
  <c r="F107" i="6" s="1"/>
  <c r="O1" i="7"/>
  <c r="E3" i="7"/>
  <c r="P5" i="6"/>
  <c r="P4" i="6"/>
  <c r="AQ33" i="4"/>
  <c r="AC33" i="4"/>
  <c r="AC31" i="4"/>
  <c r="AQ31" i="4"/>
  <c r="O81" i="4"/>
  <c r="AS81" i="4" s="1"/>
  <c r="AS41" i="4"/>
  <c r="AS65" i="4" s="1"/>
  <c r="AS75" i="4" s="1"/>
  <c r="AR41" i="4"/>
  <c r="AR65" i="4" s="1"/>
  <c r="AR75" i="4" s="1"/>
  <c r="AQ41" i="4"/>
  <c r="AQ65" i="4" s="1"/>
  <c r="AQ75" i="4" s="1"/>
  <c r="AD41" i="4"/>
  <c r="AD65" i="4" s="1"/>
  <c r="AD75" i="4" s="1"/>
  <c r="AC41" i="4"/>
  <c r="AC65" i="4" s="1"/>
  <c r="AC75" i="4" s="1"/>
  <c r="A73" i="4"/>
  <c r="A70" i="4"/>
  <c r="A69" i="4"/>
  <c r="A67" i="4"/>
  <c r="C2" i="4"/>
  <c r="AC37" i="4"/>
  <c r="AQ37" i="4"/>
  <c r="A80" i="6" l="1"/>
  <c r="D107" i="6" s="1"/>
  <c r="AU22" i="4"/>
  <c r="C18" i="4"/>
  <c r="C21" i="4"/>
  <c r="C22" i="4"/>
  <c r="C19" i="4"/>
  <c r="C23" i="4"/>
  <c r="C27" i="4" s="1"/>
  <c r="C20" i="4"/>
  <c r="C17" i="4"/>
  <c r="B32" i="4"/>
  <c r="B28" i="4"/>
  <c r="B52" i="4"/>
  <c r="B47" i="4"/>
  <c r="O33" i="4"/>
  <c r="AS33" i="4" s="1"/>
  <c r="O32" i="4"/>
  <c r="AS32" i="4" s="1"/>
  <c r="B38" i="4"/>
  <c r="B79" i="4"/>
  <c r="E68" i="6"/>
  <c r="C6" i="4"/>
  <c r="G68" i="6"/>
  <c r="B66" i="4"/>
  <c r="B58" i="4"/>
  <c r="B33" i="4"/>
  <c r="B70" i="4"/>
  <c r="B39" i="4"/>
  <c r="B77" i="4"/>
  <c r="G108" i="6"/>
  <c r="B20" i="4"/>
  <c r="A91" i="4"/>
  <c r="B82" i="4"/>
  <c r="A90" i="4"/>
  <c r="A89" i="4"/>
  <c r="A88" i="4"/>
  <c r="B24" i="4"/>
  <c r="B35" i="4"/>
  <c r="B48" i="4"/>
  <c r="B67" i="4"/>
  <c r="B71" i="4"/>
  <c r="B78" i="4"/>
  <c r="A93" i="4"/>
  <c r="B55" i="4"/>
  <c r="B56" i="4"/>
  <c r="B50" i="4"/>
  <c r="B61" i="4"/>
  <c r="B68" i="4"/>
  <c r="B72" i="4"/>
  <c r="B80" i="4"/>
  <c r="B54" i="4"/>
  <c r="B34" i="4"/>
  <c r="B60" i="4"/>
  <c r="B73" i="4"/>
  <c r="B62" i="4"/>
  <c r="B31" i="4"/>
  <c r="B37" i="4"/>
  <c r="B51" i="4"/>
  <c r="B63" i="4"/>
  <c r="B69" i="4"/>
  <c r="B76" i="4"/>
  <c r="B81" i="4"/>
  <c r="B57" i="4"/>
  <c r="B36" i="4"/>
  <c r="B18" i="4"/>
  <c r="B46" i="4"/>
  <c r="B17" i="4"/>
  <c r="E2" i="7"/>
  <c r="B19" i="4"/>
  <c r="AS37" i="4"/>
  <c r="AS35" i="4"/>
  <c r="AS34" i="4"/>
  <c r="AS36" i="4"/>
  <c r="B21" i="4"/>
  <c r="B49" i="4"/>
  <c r="B59" i="4"/>
  <c r="L7" i="7"/>
  <c r="D3" i="4"/>
  <c r="D8" i="4" s="1"/>
  <c r="C24" i="4" l="1"/>
  <c r="D23" i="4"/>
  <c r="D27" i="4" s="1"/>
  <c r="D18" i="4"/>
  <c r="D20" i="4"/>
  <c r="D22" i="4"/>
  <c r="D17" i="4"/>
  <c r="D19" i="4"/>
  <c r="D21" i="4"/>
  <c r="C84" i="4"/>
  <c r="C16" i="4"/>
  <c r="C28" i="4"/>
  <c r="C75" i="4"/>
  <c r="C26" i="4"/>
  <c r="C41" i="4"/>
  <c r="C30" i="4"/>
  <c r="C65" i="4"/>
  <c r="O55" i="4"/>
  <c r="P55" i="4" s="1"/>
  <c r="O50" i="4"/>
  <c r="P50" i="4" s="1"/>
  <c r="AQ54" i="4"/>
  <c r="AR54" i="4" s="1"/>
  <c r="AQ50" i="4"/>
  <c r="AR50" i="4" s="1"/>
  <c r="O54" i="4"/>
  <c r="P54" i="4" s="1"/>
  <c r="AC50" i="4"/>
  <c r="AD50" i="4" s="1"/>
  <c r="O51" i="4"/>
  <c r="P51" i="4" s="1"/>
  <c r="O52" i="4"/>
  <c r="P52" i="4" s="1"/>
  <c r="AC47" i="4"/>
  <c r="AD47" i="4" s="1"/>
  <c r="E3" i="4"/>
  <c r="E8" i="4" s="1"/>
  <c r="D6" i="4"/>
  <c r="AQ52" i="4"/>
  <c r="AR52" i="4" s="1"/>
  <c r="O58" i="4"/>
  <c r="P58" i="4" s="1"/>
  <c r="O57" i="4"/>
  <c r="P57" i="4" s="1"/>
  <c r="O61" i="4"/>
  <c r="AQ56" i="4"/>
  <c r="AR56" i="4" s="1"/>
  <c r="AC51" i="4"/>
  <c r="AD51" i="4" s="1"/>
  <c r="AC55" i="4"/>
  <c r="AQ51" i="4"/>
  <c r="AR51" i="4" s="1"/>
  <c r="AQ57" i="4"/>
  <c r="AR57" i="4" s="1"/>
  <c r="AQ62" i="4"/>
  <c r="AR62" i="4" s="1"/>
  <c r="AC58" i="4"/>
  <c r="AD58" i="4" s="1"/>
  <c r="AQ55" i="4"/>
  <c r="AR55" i="4" s="1"/>
  <c r="O56" i="4"/>
  <c r="O31" i="4"/>
  <c r="AS31" i="4" s="1"/>
  <c r="C39" i="4"/>
  <c r="C80" i="4" s="1"/>
  <c r="AC54" i="4"/>
  <c r="O62" i="4"/>
  <c r="AC62" i="4"/>
  <c r="AD62" i="4" s="1"/>
  <c r="AQ61" i="4"/>
  <c r="AR61" i="4" s="1"/>
  <c r="AC61" i="4"/>
  <c r="AD61" i="4" s="1"/>
  <c r="AC56" i="4"/>
  <c r="AD56" i="4" s="1"/>
  <c r="AC52" i="4"/>
  <c r="AD52" i="4" s="1"/>
  <c r="O47" i="4"/>
  <c r="AQ58" i="4"/>
  <c r="AR58" i="4" s="1"/>
  <c r="AQ47" i="4"/>
  <c r="AR47" i="4" s="1"/>
  <c r="AC57" i="4"/>
  <c r="AD57" i="4" s="1"/>
  <c r="C48" i="4" l="1"/>
  <c r="C60" i="4"/>
  <c r="C49" i="4"/>
  <c r="C46" i="4"/>
  <c r="C59" i="4"/>
  <c r="D24" i="4"/>
  <c r="E19" i="4"/>
  <c r="E20" i="4"/>
  <c r="E22" i="4"/>
  <c r="E17" i="4"/>
  <c r="E18" i="4"/>
  <c r="E21" i="4"/>
  <c r="E23" i="4"/>
  <c r="E27" i="4" s="1"/>
  <c r="D26" i="4"/>
  <c r="D16" i="4"/>
  <c r="D28" i="4"/>
  <c r="C67" i="4"/>
  <c r="AS50" i="4"/>
  <c r="AS57" i="4"/>
  <c r="D30" i="4"/>
  <c r="D84" i="4"/>
  <c r="D65" i="4"/>
  <c r="D75" i="4"/>
  <c r="D41" i="4"/>
  <c r="F3" i="4"/>
  <c r="F8" i="4" s="1"/>
  <c r="E6" i="4"/>
  <c r="C79" i="4"/>
  <c r="C69" i="4"/>
  <c r="AD54" i="4"/>
  <c r="AS54" i="4"/>
  <c r="AD55" i="4"/>
  <c r="AS55" i="4"/>
  <c r="AS47" i="4"/>
  <c r="P47" i="4"/>
  <c r="AS62" i="4"/>
  <c r="P62" i="4"/>
  <c r="AS51" i="4"/>
  <c r="AS56" i="4"/>
  <c r="P56" i="4"/>
  <c r="AS61" i="4"/>
  <c r="P61" i="4"/>
  <c r="AS52" i="4"/>
  <c r="AS58" i="4"/>
  <c r="D60" i="4" l="1"/>
  <c r="D49" i="4"/>
  <c r="D59" i="4"/>
  <c r="D48" i="4"/>
  <c r="D46" i="4"/>
  <c r="E24" i="4"/>
  <c r="F17" i="4"/>
  <c r="F19" i="4"/>
  <c r="F20" i="4"/>
  <c r="F21" i="4"/>
  <c r="F23" i="4"/>
  <c r="F27" i="4" s="1"/>
  <c r="F18" i="4"/>
  <c r="F22" i="4"/>
  <c r="E26" i="4"/>
  <c r="E16" i="4"/>
  <c r="E28" i="4"/>
  <c r="D67" i="4"/>
  <c r="F6" i="4"/>
  <c r="G3" i="4"/>
  <c r="G8" i="4" s="1"/>
  <c r="E75" i="4"/>
  <c r="E84" i="4"/>
  <c r="E41" i="4"/>
  <c r="E65" i="4"/>
  <c r="E30" i="4"/>
  <c r="E48" i="4" l="1"/>
  <c r="E49" i="4"/>
  <c r="E59" i="4"/>
  <c r="E60" i="4"/>
  <c r="E46" i="4"/>
  <c r="G23" i="4"/>
  <c r="G27" i="4" s="1"/>
  <c r="G18" i="4"/>
  <c r="G20" i="4"/>
  <c r="G21" i="4"/>
  <c r="G17" i="4"/>
  <c r="G22" i="4"/>
  <c r="G19" i="4"/>
  <c r="F24" i="4"/>
  <c r="F26" i="4"/>
  <c r="F16" i="4"/>
  <c r="F28" i="4"/>
  <c r="E67" i="4"/>
  <c r="H3" i="4"/>
  <c r="H8" i="4" s="1"/>
  <c r="G6" i="4"/>
  <c r="F84" i="4"/>
  <c r="F41" i="4"/>
  <c r="F65" i="4"/>
  <c r="F30" i="4"/>
  <c r="F75" i="4"/>
  <c r="F49" i="4" l="1"/>
  <c r="F59" i="4"/>
  <c r="F48" i="4"/>
  <c r="F60" i="4"/>
  <c r="F46" i="4"/>
  <c r="H20" i="4"/>
  <c r="H22" i="4"/>
  <c r="H17" i="4"/>
  <c r="H21" i="4"/>
  <c r="H23" i="4"/>
  <c r="H27" i="4" s="1"/>
  <c r="H18" i="4"/>
  <c r="H19" i="4"/>
  <c r="G24" i="4"/>
  <c r="G26" i="4"/>
  <c r="G16" i="4"/>
  <c r="G28" i="4"/>
  <c r="F67" i="4"/>
  <c r="C66" i="4"/>
  <c r="C76" i="4" s="1"/>
  <c r="F66" i="4"/>
  <c r="F76" i="4" s="1"/>
  <c r="D66" i="4"/>
  <c r="D76" i="4" s="1"/>
  <c r="E66" i="4"/>
  <c r="G30" i="4"/>
  <c r="G84" i="4"/>
  <c r="G41" i="4"/>
  <c r="G65" i="4"/>
  <c r="G75" i="4"/>
  <c r="I3" i="4"/>
  <c r="I8" i="4" s="1"/>
  <c r="H6" i="4"/>
  <c r="G60" i="4" l="1"/>
  <c r="G49" i="4"/>
  <c r="G59" i="4"/>
  <c r="G48" i="4"/>
  <c r="G46" i="4"/>
  <c r="I19" i="4"/>
  <c r="I17" i="4"/>
  <c r="I20" i="4"/>
  <c r="I21" i="4"/>
  <c r="I23" i="4"/>
  <c r="I27" i="4" s="1"/>
  <c r="I18" i="4"/>
  <c r="I22" i="4"/>
  <c r="H24" i="4"/>
  <c r="H26" i="4"/>
  <c r="H16" i="4"/>
  <c r="H28" i="4"/>
  <c r="G67" i="4"/>
  <c r="F68" i="4"/>
  <c r="C68" i="4"/>
  <c r="G66" i="4"/>
  <c r="D68" i="4"/>
  <c r="E76" i="4"/>
  <c r="E68" i="4"/>
  <c r="H84" i="4"/>
  <c r="H30" i="4"/>
  <c r="H41" i="4"/>
  <c r="H65" i="4"/>
  <c r="H75" i="4"/>
  <c r="J3" i="4"/>
  <c r="J8" i="4" s="1"/>
  <c r="I6" i="4"/>
  <c r="H60" i="4" l="1"/>
  <c r="H48" i="4"/>
  <c r="H49" i="4"/>
  <c r="H59" i="4"/>
  <c r="H46" i="4"/>
  <c r="J21" i="4"/>
  <c r="J23" i="4"/>
  <c r="J27" i="4" s="1"/>
  <c r="J19" i="4"/>
  <c r="J18" i="4"/>
  <c r="J22" i="4"/>
  <c r="J17" i="4"/>
  <c r="J20" i="4"/>
  <c r="I24" i="4"/>
  <c r="I26" i="4"/>
  <c r="I16" i="4"/>
  <c r="I28" i="4"/>
  <c r="H67" i="4"/>
  <c r="H66" i="4"/>
  <c r="G68" i="4"/>
  <c r="G76" i="4"/>
  <c r="I30" i="4"/>
  <c r="I84" i="4"/>
  <c r="I75" i="4"/>
  <c r="I41" i="4"/>
  <c r="I65" i="4"/>
  <c r="J6" i="4"/>
  <c r="K3" i="4"/>
  <c r="K8" i="4" s="1"/>
  <c r="I48" i="4" l="1"/>
  <c r="I60" i="4"/>
  <c r="I49" i="4"/>
  <c r="I59" i="4"/>
  <c r="I46" i="4"/>
  <c r="K18" i="4"/>
  <c r="K20" i="4"/>
  <c r="K22" i="4"/>
  <c r="K19" i="4"/>
  <c r="K21" i="4"/>
  <c r="K17" i="4"/>
  <c r="K23" i="4"/>
  <c r="K27" i="4" s="1"/>
  <c r="J24" i="4"/>
  <c r="J26" i="4"/>
  <c r="J16" i="4"/>
  <c r="J28" i="4"/>
  <c r="I67" i="4"/>
  <c r="I66" i="4"/>
  <c r="H76" i="4"/>
  <c r="H68" i="4"/>
  <c r="K6" i="4"/>
  <c r="L3" i="4"/>
  <c r="L8" i="4" s="1"/>
  <c r="J75" i="4"/>
  <c r="J30" i="4"/>
  <c r="J84" i="4"/>
  <c r="J41" i="4"/>
  <c r="J65" i="4"/>
  <c r="D39" i="4"/>
  <c r="D80" i="4" s="1"/>
  <c r="J49" i="4" l="1"/>
  <c r="J59" i="4"/>
  <c r="J48" i="4"/>
  <c r="J60" i="4"/>
  <c r="J46" i="4"/>
  <c r="L17" i="4"/>
  <c r="L20" i="4"/>
  <c r="L22" i="4"/>
  <c r="L19" i="4"/>
  <c r="L21" i="4"/>
  <c r="L18" i="4"/>
  <c r="L23" i="4"/>
  <c r="L27" i="4" s="1"/>
  <c r="K24" i="4"/>
  <c r="K26" i="4"/>
  <c r="K16" i="4"/>
  <c r="K28" i="4"/>
  <c r="J67" i="4"/>
  <c r="J66" i="4"/>
  <c r="I76" i="4"/>
  <c r="I68" i="4"/>
  <c r="M3" i="4"/>
  <c r="M8" i="4" s="1"/>
  <c r="L6" i="4"/>
  <c r="K84" i="4"/>
  <c r="K41" i="4"/>
  <c r="K65" i="4"/>
  <c r="K75" i="4"/>
  <c r="K30" i="4"/>
  <c r="D79" i="4"/>
  <c r="D69" i="4"/>
  <c r="K60" i="4" l="1"/>
  <c r="K49" i="4"/>
  <c r="K59" i="4"/>
  <c r="K48" i="4"/>
  <c r="K46" i="4"/>
  <c r="L24" i="4"/>
  <c r="M19" i="4"/>
  <c r="M21" i="4"/>
  <c r="M23" i="4"/>
  <c r="M27" i="4" s="1"/>
  <c r="M18" i="4"/>
  <c r="M22" i="4"/>
  <c r="M17" i="4"/>
  <c r="M20" i="4"/>
  <c r="L26" i="4"/>
  <c r="L16" i="4"/>
  <c r="L28" i="4"/>
  <c r="K67" i="4"/>
  <c r="J76" i="4"/>
  <c r="J68" i="4"/>
  <c r="K66" i="4"/>
  <c r="F39" i="4"/>
  <c r="F80" i="4" s="1"/>
  <c r="L30" i="4"/>
  <c r="L41" i="4"/>
  <c r="L84" i="4"/>
  <c r="L75" i="4"/>
  <c r="L65" i="4"/>
  <c r="N3" i="4"/>
  <c r="N8" i="4" s="1"/>
  <c r="M6" i="4"/>
  <c r="L60" i="4" l="1"/>
  <c r="L49" i="4"/>
  <c r="L59" i="4"/>
  <c r="L48" i="4"/>
  <c r="L46" i="4"/>
  <c r="M24" i="4"/>
  <c r="N18" i="4"/>
  <c r="O18" i="4" s="1"/>
  <c r="P18" i="4" s="1"/>
  <c r="N23" i="4"/>
  <c r="N22" i="4"/>
  <c r="N20" i="4"/>
  <c r="N21" i="4"/>
  <c r="N17" i="4"/>
  <c r="O17" i="4" s="1"/>
  <c r="P17" i="4" s="1"/>
  <c r="N19" i="4"/>
  <c r="M26" i="4"/>
  <c r="M16" i="4"/>
  <c r="M28" i="4"/>
  <c r="L67" i="4"/>
  <c r="F79" i="4"/>
  <c r="K68" i="4"/>
  <c r="K76" i="4"/>
  <c r="L66" i="4"/>
  <c r="F69" i="4"/>
  <c r="N6" i="4"/>
  <c r="Q3" i="4"/>
  <c r="Q8" i="4" s="1"/>
  <c r="M65" i="4"/>
  <c r="M30" i="4"/>
  <c r="M75" i="4"/>
  <c r="M84" i="4"/>
  <c r="M41" i="4"/>
  <c r="G39" i="4"/>
  <c r="G80" i="4" s="1"/>
  <c r="H39" i="4"/>
  <c r="H80" i="4" s="1"/>
  <c r="M48" i="4" l="1"/>
  <c r="M49" i="4"/>
  <c r="M59" i="4"/>
  <c r="M60" i="4"/>
  <c r="M46" i="4"/>
  <c r="O23" i="4"/>
  <c r="P23" i="4" s="1"/>
  <c r="N27" i="4"/>
  <c r="Q23" i="4"/>
  <c r="Q27" i="4" s="1"/>
  <c r="Q19" i="4"/>
  <c r="Q22" i="4"/>
  <c r="Q18" i="4"/>
  <c r="Q20" i="4"/>
  <c r="Q21" i="4"/>
  <c r="Q17" i="4"/>
  <c r="O27" i="4"/>
  <c r="O28" i="4" s="1"/>
  <c r="N24" i="4"/>
  <c r="N26" i="4"/>
  <c r="N16" i="4"/>
  <c r="O22" i="4"/>
  <c r="P22" i="4" s="1"/>
  <c r="M67" i="4"/>
  <c r="O21" i="4"/>
  <c r="P21" i="4" s="1"/>
  <c r="O19" i="4"/>
  <c r="O20" i="4"/>
  <c r="M66" i="4"/>
  <c r="L76" i="4"/>
  <c r="L68" i="4"/>
  <c r="R3" i="4"/>
  <c r="R8" i="4" s="1"/>
  <c r="Q6" i="4"/>
  <c r="Q26" i="4" s="1"/>
  <c r="N75" i="4"/>
  <c r="N41" i="4"/>
  <c r="N30" i="4"/>
  <c r="N84" i="4"/>
  <c r="N65" i="4"/>
  <c r="H79" i="4"/>
  <c r="H69" i="4"/>
  <c r="G69" i="4"/>
  <c r="G79" i="4"/>
  <c r="I39" i="4"/>
  <c r="I80" i="4" s="1"/>
  <c r="N49" i="4" l="1"/>
  <c r="O49" i="4" s="1"/>
  <c r="N59" i="4"/>
  <c r="N48" i="4"/>
  <c r="N60" i="4"/>
  <c r="N46" i="4"/>
  <c r="Q24" i="4"/>
  <c r="P27" i="4"/>
  <c r="P28" i="4" s="1"/>
  <c r="R23" i="4"/>
  <c r="R27" i="4" s="1"/>
  <c r="R19" i="4"/>
  <c r="R22" i="4"/>
  <c r="R18" i="4"/>
  <c r="R21" i="4"/>
  <c r="R17" i="4"/>
  <c r="R20" i="4"/>
  <c r="Q28" i="4"/>
  <c r="O24" i="4"/>
  <c r="N28" i="4"/>
  <c r="O59" i="4"/>
  <c r="O48" i="4"/>
  <c r="P20" i="4"/>
  <c r="N66" i="4"/>
  <c r="P19" i="4"/>
  <c r="M76" i="4"/>
  <c r="M68" i="4"/>
  <c r="Q41" i="4"/>
  <c r="Q75" i="4"/>
  <c r="Q16" i="4"/>
  <c r="Q84" i="4"/>
  <c r="Q65" i="4"/>
  <c r="Q30" i="4"/>
  <c r="S3" i="4"/>
  <c r="S8" i="4" s="1"/>
  <c r="R6" i="4"/>
  <c r="R26" i="4" s="1"/>
  <c r="I79" i="4"/>
  <c r="I69" i="4"/>
  <c r="J39" i="4"/>
  <c r="J80" i="4" s="1"/>
  <c r="Q59" i="4" l="1"/>
  <c r="Q49" i="4"/>
  <c r="Q48" i="4"/>
  <c r="Q60" i="4"/>
  <c r="Q46" i="4"/>
  <c r="R24" i="4"/>
  <c r="S22" i="4"/>
  <c r="S18" i="4"/>
  <c r="S21" i="4"/>
  <c r="S17" i="4"/>
  <c r="S23" i="4"/>
  <c r="S27" i="4" s="1"/>
  <c r="S19" i="4"/>
  <c r="S20" i="4"/>
  <c r="P24" i="4"/>
  <c r="R28" i="4"/>
  <c r="N67" i="4"/>
  <c r="O67" i="4" s="1"/>
  <c r="P67" i="4" s="1"/>
  <c r="Q67" i="4"/>
  <c r="G38" i="7"/>
  <c r="P59" i="4"/>
  <c r="G52" i="7" s="1"/>
  <c r="P48" i="4"/>
  <c r="G41" i="7" s="1"/>
  <c r="P49" i="4"/>
  <c r="G42" i="7" s="1"/>
  <c r="N76" i="4"/>
  <c r="O76" i="4" s="1"/>
  <c r="O66" i="4"/>
  <c r="Q66" i="4"/>
  <c r="O46" i="4"/>
  <c r="T3" i="4"/>
  <c r="T8" i="4" s="1"/>
  <c r="S6" i="4"/>
  <c r="S26" i="4" s="1"/>
  <c r="R30" i="4"/>
  <c r="R65" i="4"/>
  <c r="R75" i="4"/>
  <c r="R41" i="4"/>
  <c r="R16" i="4"/>
  <c r="R84" i="4"/>
  <c r="K39" i="4"/>
  <c r="K80" i="4" s="1"/>
  <c r="J79" i="4"/>
  <c r="J69" i="4"/>
  <c r="R59" i="4" l="1"/>
  <c r="R49" i="4"/>
  <c r="R48" i="4"/>
  <c r="R60" i="4"/>
  <c r="R46" i="4"/>
  <c r="T22" i="4"/>
  <c r="T18" i="4"/>
  <c r="T21" i="4"/>
  <c r="T17" i="4"/>
  <c r="T23" i="4"/>
  <c r="T27" i="4" s="1"/>
  <c r="T19" i="4"/>
  <c r="T20" i="4"/>
  <c r="S24" i="4"/>
  <c r="D52" i="7"/>
  <c r="S28" i="4"/>
  <c r="N68" i="4"/>
  <c r="O68" i="4" s="1"/>
  <c r="P68" i="4" s="1"/>
  <c r="D38" i="7"/>
  <c r="D46" i="7"/>
  <c r="D50" i="7"/>
  <c r="D47" i="7"/>
  <c r="D44" i="7"/>
  <c r="D51" i="7"/>
  <c r="D48" i="7"/>
  <c r="D43" i="7"/>
  <c r="D45" i="7"/>
  <c r="D40" i="7"/>
  <c r="D54" i="7"/>
  <c r="D49" i="7"/>
  <c r="D55" i="7"/>
  <c r="R67" i="4"/>
  <c r="P66" i="4"/>
  <c r="R66" i="4"/>
  <c r="P46" i="4"/>
  <c r="G39" i="7" s="1"/>
  <c r="P76" i="4"/>
  <c r="Q76" i="4"/>
  <c r="Q68" i="4"/>
  <c r="O38" i="4"/>
  <c r="S30" i="4"/>
  <c r="S65" i="4"/>
  <c r="S84" i="4"/>
  <c r="S41" i="4"/>
  <c r="S16" i="4"/>
  <c r="S75" i="4"/>
  <c r="U3" i="4"/>
  <c r="U8" i="4" s="1"/>
  <c r="T6" i="4"/>
  <c r="T26" i="4" s="1"/>
  <c r="L39" i="4"/>
  <c r="L80" i="4" s="1"/>
  <c r="K69" i="4"/>
  <c r="K79" i="4"/>
  <c r="S59" i="4" l="1"/>
  <c r="S49" i="4"/>
  <c r="S48" i="4"/>
  <c r="S60" i="4"/>
  <c r="S46" i="4"/>
  <c r="T24" i="4"/>
  <c r="U22" i="4"/>
  <c r="U18" i="4"/>
  <c r="U21" i="4"/>
  <c r="U17" i="4"/>
  <c r="U23" i="4"/>
  <c r="U27" i="4" s="1"/>
  <c r="U20" i="4"/>
  <c r="U19" i="4"/>
  <c r="T28" i="4"/>
  <c r="D39" i="7"/>
  <c r="S67" i="4"/>
  <c r="S66" i="4"/>
  <c r="R68" i="4"/>
  <c r="R76" i="4"/>
  <c r="U6" i="4"/>
  <c r="U26" i="4" s="1"/>
  <c r="V3" i="4"/>
  <c r="V8" i="4" s="1"/>
  <c r="T65" i="4"/>
  <c r="T16" i="4"/>
  <c r="T84" i="4"/>
  <c r="T30" i="4"/>
  <c r="T75" i="4"/>
  <c r="T41" i="4"/>
  <c r="M39" i="4"/>
  <c r="M80" i="4" s="1"/>
  <c r="L79" i="4"/>
  <c r="L69" i="4"/>
  <c r="T59" i="4" l="1"/>
  <c r="T49" i="4"/>
  <c r="T48" i="4"/>
  <c r="T60" i="4"/>
  <c r="T46" i="4"/>
  <c r="U24" i="4"/>
  <c r="V20" i="4"/>
  <c r="V23" i="4"/>
  <c r="V27" i="4" s="1"/>
  <c r="V19" i="4"/>
  <c r="V21" i="4"/>
  <c r="V17" i="4"/>
  <c r="V22" i="4"/>
  <c r="V18" i="4"/>
  <c r="U28" i="4"/>
  <c r="T67" i="4"/>
  <c r="T66" i="4"/>
  <c r="S68" i="4"/>
  <c r="S76" i="4"/>
  <c r="W3" i="4"/>
  <c r="W8" i="4" s="1"/>
  <c r="V6" i="4"/>
  <c r="V26" i="4" s="1"/>
  <c r="U30" i="4"/>
  <c r="U65" i="4"/>
  <c r="U41" i="4"/>
  <c r="U16" i="4"/>
  <c r="U84" i="4"/>
  <c r="U75" i="4"/>
  <c r="M69" i="4"/>
  <c r="M79" i="4"/>
  <c r="U48" i="4" l="1"/>
  <c r="U59" i="4"/>
  <c r="U49" i="4"/>
  <c r="U60" i="4"/>
  <c r="U46" i="4"/>
  <c r="V24" i="4"/>
  <c r="W23" i="4"/>
  <c r="W27" i="4" s="1"/>
  <c r="W19" i="4"/>
  <c r="W22" i="4"/>
  <c r="W18" i="4"/>
  <c r="W21" i="4"/>
  <c r="W17" i="4"/>
  <c r="W20" i="4"/>
  <c r="V28" i="4"/>
  <c r="U67" i="4"/>
  <c r="U66" i="4"/>
  <c r="T76" i="4"/>
  <c r="T68" i="4"/>
  <c r="V65" i="4"/>
  <c r="V16" i="4"/>
  <c r="V84" i="4"/>
  <c r="V41" i="4"/>
  <c r="V30" i="4"/>
  <c r="V75" i="4"/>
  <c r="X3" i="4"/>
  <c r="X8" i="4" s="1"/>
  <c r="W6" i="4"/>
  <c r="W26" i="4" s="1"/>
  <c r="N39" i="4"/>
  <c r="N80" i="4" s="1"/>
  <c r="V48" i="4" l="1"/>
  <c r="V59" i="4"/>
  <c r="V49" i="4"/>
  <c r="V60" i="4"/>
  <c r="V46" i="4"/>
  <c r="W24" i="4"/>
  <c r="X20" i="4"/>
  <c r="X23" i="4"/>
  <c r="X27" i="4" s="1"/>
  <c r="X19" i="4"/>
  <c r="X17" i="4"/>
  <c r="X22" i="4"/>
  <c r="X18" i="4"/>
  <c r="X21" i="4"/>
  <c r="W28" i="4"/>
  <c r="V67" i="4"/>
  <c r="U76" i="4"/>
  <c r="U68" i="4"/>
  <c r="V66" i="4"/>
  <c r="Y3" i="4"/>
  <c r="Y8" i="4" s="1"/>
  <c r="X6" i="4"/>
  <c r="X26" i="4" s="1"/>
  <c r="W41" i="4"/>
  <c r="W16" i="4"/>
  <c r="W30" i="4"/>
  <c r="W65" i="4"/>
  <c r="W84" i="4"/>
  <c r="W75" i="4"/>
  <c r="Q39" i="4"/>
  <c r="Q80" i="4" s="1"/>
  <c r="R39" i="4"/>
  <c r="R80" i="4" s="1"/>
  <c r="N79" i="4"/>
  <c r="N69" i="4"/>
  <c r="O39" i="4"/>
  <c r="W59" i="4" l="1"/>
  <c r="W49" i="4"/>
  <c r="W48" i="4"/>
  <c r="W60" i="4"/>
  <c r="W46" i="4"/>
  <c r="Y22" i="4"/>
  <c r="Y18" i="4"/>
  <c r="Y21" i="4"/>
  <c r="Y17" i="4"/>
  <c r="Y23" i="4"/>
  <c r="Y27" i="4" s="1"/>
  <c r="Y19" i="4"/>
  <c r="Y20" i="4"/>
  <c r="X24" i="4"/>
  <c r="X28" i="4"/>
  <c r="W67" i="4"/>
  <c r="V76" i="4"/>
  <c r="V68" i="4"/>
  <c r="W66" i="4"/>
  <c r="X30" i="4"/>
  <c r="X84" i="4"/>
  <c r="X41" i="4"/>
  <c r="X75" i="4"/>
  <c r="X65" i="4"/>
  <c r="X16" i="4"/>
  <c r="Y6" i="4"/>
  <c r="Y26" i="4" s="1"/>
  <c r="Z3" i="4"/>
  <c r="Z8" i="4" s="1"/>
  <c r="Q69" i="4"/>
  <c r="Q79" i="4"/>
  <c r="R69" i="4"/>
  <c r="R79" i="4"/>
  <c r="X59" i="4" l="1"/>
  <c r="X49" i="4"/>
  <c r="X48" i="4"/>
  <c r="X60" i="4"/>
  <c r="X46" i="4"/>
  <c r="Y24" i="4"/>
  <c r="Z21" i="4"/>
  <c r="Z17" i="4"/>
  <c r="Z20" i="4"/>
  <c r="Z22" i="4"/>
  <c r="Z23" i="4"/>
  <c r="Z27" i="4" s="1"/>
  <c r="Z19" i="4"/>
  <c r="Z18" i="4"/>
  <c r="Y28" i="4"/>
  <c r="X67" i="4"/>
  <c r="W68" i="4"/>
  <c r="W76" i="4"/>
  <c r="X66" i="4"/>
  <c r="Y16" i="4"/>
  <c r="Y84" i="4"/>
  <c r="Y65" i="4"/>
  <c r="Y75" i="4"/>
  <c r="Y41" i="4"/>
  <c r="Y30" i="4"/>
  <c r="AA3" i="4"/>
  <c r="AA8" i="4" s="1"/>
  <c r="Z6" i="4"/>
  <c r="Z26" i="4" s="1"/>
  <c r="S39" i="4"/>
  <c r="S80" i="4" s="1"/>
  <c r="T39" i="4"/>
  <c r="T80" i="4" s="1"/>
  <c r="Y59" i="4" l="1"/>
  <c r="Y49" i="4"/>
  <c r="Y48" i="4"/>
  <c r="Y60" i="4"/>
  <c r="Y46" i="4"/>
  <c r="Z24" i="4"/>
  <c r="AA20" i="4"/>
  <c r="AA23" i="4"/>
  <c r="AA27" i="4" s="1"/>
  <c r="AA19" i="4"/>
  <c r="AA21" i="4"/>
  <c r="AA17" i="4"/>
  <c r="AA22" i="4"/>
  <c r="AA18" i="4"/>
  <c r="Z28" i="4"/>
  <c r="Y67" i="4"/>
  <c r="Y66" i="4"/>
  <c r="X76" i="4"/>
  <c r="X68" i="4"/>
  <c r="AB3" i="4"/>
  <c r="AB8" i="4" s="1"/>
  <c r="AA6" i="4"/>
  <c r="AA26" i="4" s="1"/>
  <c r="Z75" i="4"/>
  <c r="Z65" i="4"/>
  <c r="Z41" i="4"/>
  <c r="Z30" i="4"/>
  <c r="Z84" i="4"/>
  <c r="Z16" i="4"/>
  <c r="T69" i="4"/>
  <c r="T79" i="4"/>
  <c r="S79" i="4"/>
  <c r="S69" i="4"/>
  <c r="Z59" i="4" l="1"/>
  <c r="Z49" i="4"/>
  <c r="Z48" i="4"/>
  <c r="Z60" i="4"/>
  <c r="Z46" i="4"/>
  <c r="AA24" i="4"/>
  <c r="AB23" i="4"/>
  <c r="AB19" i="4"/>
  <c r="AB22" i="4"/>
  <c r="AB18" i="4"/>
  <c r="AB21" i="4"/>
  <c r="AB17" i="4"/>
  <c r="AB20" i="4"/>
  <c r="AA28" i="4"/>
  <c r="Z67" i="4"/>
  <c r="Y76" i="4"/>
  <c r="Y68" i="4"/>
  <c r="Z66" i="4"/>
  <c r="AA65" i="4"/>
  <c r="AA30" i="4"/>
  <c r="AA84" i="4"/>
  <c r="AA41" i="4"/>
  <c r="AA75" i="4"/>
  <c r="AA16" i="4"/>
  <c r="AE3" i="4"/>
  <c r="AE8" i="4" s="1"/>
  <c r="AB6" i="4"/>
  <c r="AB26" i="4" s="1"/>
  <c r="U39" i="4"/>
  <c r="U80" i="4" s="1"/>
  <c r="V39" i="4"/>
  <c r="V80" i="4" s="1"/>
  <c r="AA59" i="4" l="1"/>
  <c r="AA49" i="4"/>
  <c r="AA48" i="4"/>
  <c r="AA60" i="4"/>
  <c r="AA46" i="4"/>
  <c r="AC23" i="4"/>
  <c r="AD23" i="4" s="1"/>
  <c r="AB27" i="4"/>
  <c r="AC27" i="4" s="1"/>
  <c r="AD27" i="4" s="1"/>
  <c r="AB24" i="4"/>
  <c r="AE21" i="4"/>
  <c r="AE17" i="4"/>
  <c r="AE20" i="4"/>
  <c r="AE22" i="4"/>
  <c r="AE18" i="4"/>
  <c r="AE23" i="4"/>
  <c r="AE27" i="4" s="1"/>
  <c r="AE19" i="4"/>
  <c r="AC22" i="4"/>
  <c r="AD22" i="4" s="1"/>
  <c r="AA67" i="4"/>
  <c r="Z76" i="4"/>
  <c r="Z68" i="4"/>
  <c r="AC18" i="4"/>
  <c r="AC19" i="4"/>
  <c r="AA66" i="4"/>
  <c r="AC17" i="4"/>
  <c r="AC21" i="4"/>
  <c r="AC20" i="4"/>
  <c r="AE6" i="4"/>
  <c r="AE26" i="4" s="1"/>
  <c r="AF3" i="4"/>
  <c r="AF8" i="4" s="1"/>
  <c r="AB65" i="4"/>
  <c r="AB75" i="4"/>
  <c r="AB16" i="4"/>
  <c r="AB30" i="4"/>
  <c r="AB41" i="4"/>
  <c r="AB84" i="4"/>
  <c r="U79" i="4"/>
  <c r="U69" i="4"/>
  <c r="V69" i="4"/>
  <c r="V79" i="4"/>
  <c r="W39" i="4"/>
  <c r="W80" i="4" s="1"/>
  <c r="AB59" i="4" l="1"/>
  <c r="AC59" i="4" s="1"/>
  <c r="AB49" i="4"/>
  <c r="AC49" i="4" s="1"/>
  <c r="AB48" i="4"/>
  <c r="AB60" i="4"/>
  <c r="AB46" i="4"/>
  <c r="AC46" i="4" s="1"/>
  <c r="AE24" i="4"/>
  <c r="AF20" i="4"/>
  <c r="AF23" i="4"/>
  <c r="AF27" i="4" s="1"/>
  <c r="AF19" i="4"/>
  <c r="AF21" i="4"/>
  <c r="AF22" i="4"/>
  <c r="AF18" i="4"/>
  <c r="AF17" i="4"/>
  <c r="AC24" i="4"/>
  <c r="AE28" i="4"/>
  <c r="AC28" i="4"/>
  <c r="AD28" i="4"/>
  <c r="AB28" i="4"/>
  <c r="AD21" i="4"/>
  <c r="AD18" i="4"/>
  <c r="AB66" i="4"/>
  <c r="AD19" i="4"/>
  <c r="AD20" i="4"/>
  <c r="AD17" i="4"/>
  <c r="AA76" i="4"/>
  <c r="AA68" i="4"/>
  <c r="AF6" i="4"/>
  <c r="AF26" i="4" s="1"/>
  <c r="AG3" i="4"/>
  <c r="AG8" i="4" s="1"/>
  <c r="AE75" i="4"/>
  <c r="AE84" i="4"/>
  <c r="AE41" i="4"/>
  <c r="AE30" i="4"/>
  <c r="AE16" i="4"/>
  <c r="AE65" i="4"/>
  <c r="W79" i="4"/>
  <c r="W69" i="4"/>
  <c r="X39" i="4"/>
  <c r="X80" i="4" s="1"/>
  <c r="AE48" i="4" l="1"/>
  <c r="AE49" i="4"/>
  <c r="AE59" i="4"/>
  <c r="AE60" i="4"/>
  <c r="AE46" i="4"/>
  <c r="AG23" i="4"/>
  <c r="AG27" i="4" s="1"/>
  <c r="AG19" i="4"/>
  <c r="AG22" i="4"/>
  <c r="AG18" i="4"/>
  <c r="AG21" i="4"/>
  <c r="AG17" i="4"/>
  <c r="AG20" i="4"/>
  <c r="AF24" i="4"/>
  <c r="AD24" i="4"/>
  <c r="AF28" i="4"/>
  <c r="AB67" i="4"/>
  <c r="AC67" i="4" s="1"/>
  <c r="AD67" i="4" s="1"/>
  <c r="AE67" i="4"/>
  <c r="AD59" i="4"/>
  <c r="AD49" i="4"/>
  <c r="AB76" i="4"/>
  <c r="AC76" i="4" s="1"/>
  <c r="AC66" i="4"/>
  <c r="AC48" i="4"/>
  <c r="AE66" i="4"/>
  <c r="AD46" i="4"/>
  <c r="AH3" i="4"/>
  <c r="AH8" i="4" s="1"/>
  <c r="AG6" i="4"/>
  <c r="AG26" i="4" s="1"/>
  <c r="AF84" i="4"/>
  <c r="AF30" i="4"/>
  <c r="AF41" i="4"/>
  <c r="AF16" i="4"/>
  <c r="AF65" i="4"/>
  <c r="AF75" i="4"/>
  <c r="X69" i="4"/>
  <c r="X79" i="4"/>
  <c r="Y39" i="4"/>
  <c r="Y80" i="4" s="1"/>
  <c r="AF48" i="4" l="1"/>
  <c r="AF59" i="4"/>
  <c r="AF49" i="4"/>
  <c r="AF60" i="4"/>
  <c r="AF46" i="4"/>
  <c r="AG24" i="4"/>
  <c r="AH22" i="4"/>
  <c r="AH18" i="4"/>
  <c r="AH21" i="4"/>
  <c r="AH17" i="4"/>
  <c r="AH23" i="4"/>
  <c r="AH27" i="4" s="1"/>
  <c r="AH20" i="4"/>
  <c r="AH19" i="4"/>
  <c r="AG28" i="4"/>
  <c r="AB68" i="4"/>
  <c r="AC68" i="4" s="1"/>
  <c r="AD68" i="4" s="1"/>
  <c r="AF67" i="4"/>
  <c r="AD76" i="4"/>
  <c r="AE76" i="4"/>
  <c r="AE68" i="4"/>
  <c r="AD48" i="4"/>
  <c r="AC38" i="4"/>
  <c r="AD66" i="4"/>
  <c r="AF66" i="4"/>
  <c r="AG65" i="4"/>
  <c r="AG75" i="4"/>
  <c r="AG16" i="4"/>
  <c r="AG41" i="4"/>
  <c r="AG30" i="4"/>
  <c r="AG84" i="4"/>
  <c r="AI3" i="4"/>
  <c r="AI8" i="4" s="1"/>
  <c r="AH6" i="4"/>
  <c r="AH26" i="4" s="1"/>
  <c r="Y69" i="4"/>
  <c r="Y79" i="4"/>
  <c r="Z39" i="4"/>
  <c r="Z80" i="4" s="1"/>
  <c r="AG59" i="4" l="1"/>
  <c r="AG49" i="4"/>
  <c r="AG48" i="4"/>
  <c r="AG60" i="4"/>
  <c r="AG46" i="4"/>
  <c r="AH24" i="4"/>
  <c r="AI20" i="4"/>
  <c r="AI23" i="4"/>
  <c r="AI27" i="4" s="1"/>
  <c r="AI19" i="4"/>
  <c r="AI21" i="4"/>
  <c r="AI17" i="4"/>
  <c r="AI22" i="4"/>
  <c r="AI18" i="4"/>
  <c r="AH28" i="4"/>
  <c r="AG67" i="4"/>
  <c r="AG66" i="4"/>
  <c r="AF76" i="4"/>
  <c r="AF68" i="4"/>
  <c r="AI6" i="4"/>
  <c r="AI26" i="4" s="1"/>
  <c r="AJ3" i="4"/>
  <c r="AJ8" i="4" s="1"/>
  <c r="AH84" i="4"/>
  <c r="AH41" i="4"/>
  <c r="AH65" i="4"/>
  <c r="AH16" i="4"/>
  <c r="AH75" i="4"/>
  <c r="AH30" i="4"/>
  <c r="Z69" i="4"/>
  <c r="Z79" i="4"/>
  <c r="AA39" i="4"/>
  <c r="AA80" i="4" s="1"/>
  <c r="AH59" i="4" l="1"/>
  <c r="AH49" i="4"/>
  <c r="AH48" i="4"/>
  <c r="AH60" i="4"/>
  <c r="AH46" i="4"/>
  <c r="AI24" i="4"/>
  <c r="AJ21" i="4"/>
  <c r="AJ17" i="4"/>
  <c r="AJ20" i="4"/>
  <c r="AJ22" i="4"/>
  <c r="AJ23" i="4"/>
  <c r="AJ27" i="4" s="1"/>
  <c r="AJ19" i="4"/>
  <c r="AJ18" i="4"/>
  <c r="AI28" i="4"/>
  <c r="AH67" i="4"/>
  <c r="AH66" i="4"/>
  <c r="AG76" i="4"/>
  <c r="AG68" i="4"/>
  <c r="AK3" i="4"/>
  <c r="AK8" i="4" s="1"/>
  <c r="AJ6" i="4"/>
  <c r="AJ26" i="4" s="1"/>
  <c r="AI75" i="4"/>
  <c r="AI84" i="4"/>
  <c r="AI16" i="4"/>
  <c r="AI41" i="4"/>
  <c r="AI65" i="4"/>
  <c r="AI30" i="4"/>
  <c r="AA79" i="4"/>
  <c r="AA69" i="4"/>
  <c r="AI59" i="4" l="1"/>
  <c r="AI49" i="4"/>
  <c r="AI48" i="4"/>
  <c r="AI60" i="4"/>
  <c r="AI46" i="4"/>
  <c r="AK20" i="4"/>
  <c r="AK23" i="4"/>
  <c r="AK27" i="4" s="1"/>
  <c r="AK19" i="4"/>
  <c r="AK17" i="4"/>
  <c r="AK22" i="4"/>
  <c r="AK18" i="4"/>
  <c r="AK21" i="4"/>
  <c r="AJ24" i="4"/>
  <c r="AJ28" i="4"/>
  <c r="AI67" i="4"/>
  <c r="AH68" i="4"/>
  <c r="AH76" i="4"/>
  <c r="AI66" i="4"/>
  <c r="AJ75" i="4"/>
  <c r="AJ65" i="4"/>
  <c r="AJ30" i="4"/>
  <c r="AJ84" i="4"/>
  <c r="AJ41" i="4"/>
  <c r="AJ16" i="4"/>
  <c r="AL3" i="4"/>
  <c r="AL8" i="4" s="1"/>
  <c r="AK6" i="4"/>
  <c r="AK26" i="4" s="1"/>
  <c r="AB39" i="4"/>
  <c r="AB80" i="4" s="1"/>
  <c r="AJ59" i="4" l="1"/>
  <c r="AJ49" i="4"/>
  <c r="AJ48" i="4"/>
  <c r="AJ60" i="4"/>
  <c r="AJ46" i="4"/>
  <c r="AK24" i="4"/>
  <c r="AL21" i="4"/>
  <c r="AL17" i="4"/>
  <c r="AL20" i="4"/>
  <c r="AL22" i="4"/>
  <c r="AL23" i="4"/>
  <c r="AL27" i="4" s="1"/>
  <c r="AL19" i="4"/>
  <c r="AL18" i="4"/>
  <c r="AK28" i="4"/>
  <c r="AJ67" i="4"/>
  <c r="AJ66" i="4"/>
  <c r="AI68" i="4"/>
  <c r="AI76" i="4"/>
  <c r="AM3" i="4"/>
  <c r="AM8" i="4" s="1"/>
  <c r="AL6" i="4"/>
  <c r="AL26" i="4" s="1"/>
  <c r="AK84" i="4"/>
  <c r="AK65" i="4"/>
  <c r="AK30" i="4"/>
  <c r="AK41" i="4"/>
  <c r="AK16" i="4"/>
  <c r="AK75" i="4"/>
  <c r="AF39" i="4"/>
  <c r="AF80" i="4" s="1"/>
  <c r="AE39" i="4"/>
  <c r="AE80" i="4" s="1"/>
  <c r="AB69" i="4"/>
  <c r="AB79" i="4"/>
  <c r="AC39" i="4"/>
  <c r="AK59" i="4" l="1"/>
  <c r="AK49" i="4"/>
  <c r="AK48" i="4"/>
  <c r="AK60" i="4"/>
  <c r="AK46" i="4"/>
  <c r="AL24" i="4"/>
  <c r="AM21" i="4"/>
  <c r="AM17" i="4"/>
  <c r="AM18" i="4"/>
  <c r="AM20" i="4"/>
  <c r="AM22" i="4"/>
  <c r="AM23" i="4"/>
  <c r="AM27" i="4" s="1"/>
  <c r="AM19" i="4"/>
  <c r="AL28" i="4"/>
  <c r="AK67" i="4"/>
  <c r="AJ76" i="4"/>
  <c r="AJ68" i="4"/>
  <c r="AK66" i="4"/>
  <c r="AL30" i="4"/>
  <c r="AL41" i="4"/>
  <c r="AL84" i="4"/>
  <c r="AL16" i="4"/>
  <c r="AL75" i="4"/>
  <c r="AL65" i="4"/>
  <c r="AM6" i="4"/>
  <c r="AM26" i="4" s="1"/>
  <c r="AN3" i="4"/>
  <c r="AN8" i="4" s="1"/>
  <c r="AG39" i="4"/>
  <c r="AG80" i="4" s="1"/>
  <c r="AF79" i="4"/>
  <c r="AF69" i="4"/>
  <c r="AE69" i="4"/>
  <c r="AE79" i="4"/>
  <c r="AC69" i="4"/>
  <c r="AC80" i="4"/>
  <c r="AC79" i="4"/>
  <c r="AL59" i="4" l="1"/>
  <c r="AL49" i="4"/>
  <c r="AL48" i="4"/>
  <c r="AL60" i="4"/>
  <c r="AL46" i="4"/>
  <c r="AM24" i="4"/>
  <c r="AN22" i="4"/>
  <c r="AN18" i="4"/>
  <c r="AN21" i="4"/>
  <c r="AN17" i="4"/>
  <c r="AN23" i="4"/>
  <c r="AN27" i="4" s="1"/>
  <c r="AN20" i="4"/>
  <c r="AN19" i="4"/>
  <c r="AM28" i="4"/>
  <c r="AL67" i="4"/>
  <c r="AK76" i="4"/>
  <c r="AK68" i="4"/>
  <c r="AL66" i="4"/>
  <c r="AM65" i="4"/>
  <c r="AM75" i="4"/>
  <c r="AM84" i="4"/>
  <c r="AM16" i="4"/>
  <c r="AM30" i="4"/>
  <c r="AM41" i="4"/>
  <c r="AO3" i="4"/>
  <c r="AO8" i="4" s="1"/>
  <c r="AN6" i="4"/>
  <c r="AN26" i="4" s="1"/>
  <c r="AG79" i="4"/>
  <c r="AG69" i="4"/>
  <c r="AH39" i="4"/>
  <c r="AH80" i="4" s="1"/>
  <c r="AM48" i="4" l="1"/>
  <c r="AM59" i="4"/>
  <c r="AM49" i="4"/>
  <c r="AM60" i="4"/>
  <c r="AM46" i="4"/>
  <c r="AO21" i="4"/>
  <c r="AO17" i="4"/>
  <c r="AO20" i="4"/>
  <c r="AO18" i="4"/>
  <c r="AO23" i="4"/>
  <c r="AO27" i="4" s="1"/>
  <c r="AO19" i="4"/>
  <c r="AO22" i="4"/>
  <c r="AN24" i="4"/>
  <c r="AN28" i="4"/>
  <c r="AM67" i="4"/>
  <c r="AM66" i="4"/>
  <c r="AL76" i="4"/>
  <c r="AL68" i="4"/>
  <c r="AN84" i="4"/>
  <c r="AN30" i="4"/>
  <c r="AN65" i="4"/>
  <c r="AN16" i="4"/>
  <c r="AN41" i="4"/>
  <c r="AN75" i="4"/>
  <c r="AP3" i="4"/>
  <c r="AP8" i="4" s="1"/>
  <c r="AO6" i="4"/>
  <c r="AO26" i="4" s="1"/>
  <c r="AI39" i="4"/>
  <c r="AI80" i="4" s="1"/>
  <c r="AH79" i="4"/>
  <c r="AH69" i="4"/>
  <c r="AN48" i="4" l="1"/>
  <c r="AN59" i="4"/>
  <c r="AN49" i="4"/>
  <c r="AN60" i="4"/>
  <c r="AN46" i="4"/>
  <c r="AO24" i="4"/>
  <c r="AP23" i="4"/>
  <c r="AP19" i="4"/>
  <c r="AP22" i="4"/>
  <c r="AP18" i="4"/>
  <c r="AP21" i="4"/>
  <c r="AP17" i="4"/>
  <c r="AP20" i="4"/>
  <c r="AO28" i="4"/>
  <c r="AN67" i="4"/>
  <c r="AM68" i="4"/>
  <c r="AM76" i="4"/>
  <c r="AP6" i="4"/>
  <c r="AN66" i="4"/>
  <c r="AO65" i="4"/>
  <c r="AO41" i="4"/>
  <c r="AO84" i="4"/>
  <c r="AO30" i="4"/>
  <c r="AO16" i="4"/>
  <c r="AO75" i="4"/>
  <c r="AI79" i="4"/>
  <c r="AI69" i="4"/>
  <c r="AJ39" i="4"/>
  <c r="AJ80" i="4" s="1"/>
  <c r="AO59" i="4" l="1"/>
  <c r="AO49" i="4"/>
  <c r="AO48" i="4"/>
  <c r="AO60" i="4"/>
  <c r="AO46" i="4"/>
  <c r="AQ23" i="4"/>
  <c r="AR23" i="4" s="1"/>
  <c r="AP27" i="4"/>
  <c r="AQ27" i="4" s="1"/>
  <c r="AR27" i="4" s="1"/>
  <c r="AP24" i="4"/>
  <c r="AQ22" i="4"/>
  <c r="AS22" i="4" s="1"/>
  <c r="AO67" i="4"/>
  <c r="AP16" i="4"/>
  <c r="AP26" i="4"/>
  <c r="AP41" i="4"/>
  <c r="AP65" i="4"/>
  <c r="AP75" i="4"/>
  <c r="AP84" i="4"/>
  <c r="AP30" i="4"/>
  <c r="AO66" i="4"/>
  <c r="AQ20" i="4"/>
  <c r="AQ18" i="4"/>
  <c r="AN76" i="4"/>
  <c r="AN68" i="4"/>
  <c r="AQ17" i="4"/>
  <c r="AQ21" i="4"/>
  <c r="AQ19" i="4"/>
  <c r="AJ79" i="4"/>
  <c r="AJ69" i="4"/>
  <c r="AK39" i="4"/>
  <c r="AK80" i="4" s="1"/>
  <c r="AP59" i="4" l="1"/>
  <c r="AQ59" i="4" s="1"/>
  <c r="AP49" i="4"/>
  <c r="AQ49" i="4" s="1"/>
  <c r="AP48" i="4"/>
  <c r="AQ48" i="4" s="1"/>
  <c r="AP60" i="4"/>
  <c r="AP46" i="4"/>
  <c r="AS23" i="4"/>
  <c r="AQ28" i="4"/>
  <c r="AS27" i="4"/>
  <c r="AS28" i="4" s="1"/>
  <c r="AQ24" i="4"/>
  <c r="AR22" i="4"/>
  <c r="AP28" i="4"/>
  <c r="AR28" i="4"/>
  <c r="AO76" i="4"/>
  <c r="AO68" i="4"/>
  <c r="AR20" i="4"/>
  <c r="AS20" i="4"/>
  <c r="AR17" i="4"/>
  <c r="AS17" i="4"/>
  <c r="AR21" i="4"/>
  <c r="AS21" i="4"/>
  <c r="AR19" i="4"/>
  <c r="AS19" i="4"/>
  <c r="AP66" i="4"/>
  <c r="AR18" i="4"/>
  <c r="AS18" i="4"/>
  <c r="AL39" i="4"/>
  <c r="AL80" i="4" s="1"/>
  <c r="AK79" i="4"/>
  <c r="AK69" i="4"/>
  <c r="AS24" i="4" l="1"/>
  <c r="AR24" i="4"/>
  <c r="AP67" i="4"/>
  <c r="AQ67" i="4" s="1"/>
  <c r="AR67" i="4" s="1"/>
  <c r="AR59" i="4"/>
  <c r="AS59" i="4"/>
  <c r="AR48" i="4"/>
  <c r="AS48" i="4"/>
  <c r="AP76" i="4"/>
  <c r="AQ66" i="4"/>
  <c r="AR49" i="4"/>
  <c r="AS49" i="4"/>
  <c r="AQ46" i="4"/>
  <c r="AL79" i="4"/>
  <c r="AL69" i="4"/>
  <c r="AM39" i="4"/>
  <c r="AM80" i="4" s="1"/>
  <c r="AS67" i="4" l="1"/>
  <c r="AP68" i="4"/>
  <c r="AQ68" i="4" s="1"/>
  <c r="AS68" i="4" s="1"/>
  <c r="AQ76" i="4"/>
  <c r="AR46" i="4"/>
  <c r="AS46" i="4"/>
  <c r="AQ38" i="4"/>
  <c r="AS38" i="4" s="1"/>
  <c r="AR66" i="4"/>
  <c r="AS66" i="4"/>
  <c r="AN39" i="4"/>
  <c r="AN80" i="4" s="1"/>
  <c r="AM79" i="4"/>
  <c r="AM69" i="4"/>
  <c r="AR68" i="4" l="1"/>
  <c r="AR76" i="4"/>
  <c r="AS76" i="4"/>
  <c r="AN79" i="4"/>
  <c r="AN69" i="4"/>
  <c r="AO39" i="4"/>
  <c r="AO80" i="4" s="1"/>
  <c r="AO79" i="4" l="1"/>
  <c r="AO69" i="4"/>
  <c r="AP39" i="4" l="1"/>
  <c r="AP80" i="4" s="1"/>
  <c r="AQ39" i="4" l="1"/>
  <c r="AS39" i="4" s="1"/>
  <c r="AP79" i="4"/>
  <c r="AP69" i="4"/>
  <c r="AQ80" i="4" l="1"/>
  <c r="AQ79" i="4"/>
  <c r="AQ69" i="4"/>
  <c r="E39" i="4" l="1"/>
  <c r="E79" i="4" s="1"/>
  <c r="O79" i="4" s="1"/>
  <c r="AS79" i="4" s="1"/>
  <c r="C63" i="4"/>
  <c r="C77" i="4" s="1"/>
  <c r="E69" i="4" l="1"/>
  <c r="O69" i="4" s="1"/>
  <c r="AS69" i="4" s="1"/>
  <c r="E80" i="4"/>
  <c r="O80" i="4" s="1"/>
  <c r="AS80" i="4" s="1"/>
  <c r="C42" i="4"/>
  <c r="C78" i="4"/>
  <c r="C70" i="4"/>
  <c r="C72" i="4" l="1"/>
  <c r="C71" i="4"/>
  <c r="C82" i="4"/>
  <c r="D81" i="4" s="1"/>
  <c r="C43" i="4"/>
  <c r="C44" i="4" s="1"/>
  <c r="C99" i="4" l="1"/>
  <c r="C88" i="4"/>
  <c r="C73" i="4"/>
  <c r="C98" i="4" s="1"/>
  <c r="C89" i="4" l="1"/>
  <c r="C90" i="4"/>
  <c r="C91" i="4" s="1"/>
  <c r="I63" i="4"/>
  <c r="I77" i="4" s="1"/>
  <c r="M63" i="4"/>
  <c r="M77" i="4" s="1"/>
  <c r="G63" i="4"/>
  <c r="G77" i="4" s="1"/>
  <c r="N63" i="4"/>
  <c r="N77" i="4" s="1"/>
  <c r="F63" i="4"/>
  <c r="F77" i="4" s="1"/>
  <c r="E63" i="4"/>
  <c r="E77" i="4" s="1"/>
  <c r="K63" i="4"/>
  <c r="K77" i="4" s="1"/>
  <c r="L63" i="4"/>
  <c r="L77" i="4" s="1"/>
  <c r="H63" i="4"/>
  <c r="H77" i="4" s="1"/>
  <c r="J63" i="4"/>
  <c r="J77" i="4" s="1"/>
  <c r="O60" i="4"/>
  <c r="D63" i="4"/>
  <c r="D77" i="4" s="1"/>
  <c r="K78" i="4" l="1"/>
  <c r="J78" i="4"/>
  <c r="E78" i="4"/>
  <c r="M78" i="4"/>
  <c r="D42" i="4"/>
  <c r="D43" i="4" s="1"/>
  <c r="N70" i="4"/>
  <c r="N71" i="4" s="1"/>
  <c r="H42" i="4"/>
  <c r="H78" i="4"/>
  <c r="I42" i="4"/>
  <c r="I78" i="4"/>
  <c r="G70" i="4"/>
  <c r="G71" i="4" s="1"/>
  <c r="G78" i="4"/>
  <c r="M70" i="4"/>
  <c r="M72" i="4" s="1"/>
  <c r="N78" i="4"/>
  <c r="N42" i="4"/>
  <c r="M42" i="4"/>
  <c r="L78" i="4"/>
  <c r="L42" i="4"/>
  <c r="D70" i="4"/>
  <c r="J70" i="4"/>
  <c r="J42" i="4"/>
  <c r="F42" i="4"/>
  <c r="F70" i="4"/>
  <c r="F78" i="4"/>
  <c r="L70" i="4"/>
  <c r="O63" i="4"/>
  <c r="P60" i="4"/>
  <c r="G53" i="7" s="1"/>
  <c r="K42" i="4"/>
  <c r="K70" i="4"/>
  <c r="E70" i="4"/>
  <c r="E42" i="4"/>
  <c r="H70" i="4"/>
  <c r="G42" i="4"/>
  <c r="I70" i="4"/>
  <c r="D53" i="7" l="1"/>
  <c r="D56" i="7" s="1"/>
  <c r="G56" i="7"/>
  <c r="N72" i="4"/>
  <c r="G72" i="4"/>
  <c r="D44" i="4"/>
  <c r="E44" i="4" s="1"/>
  <c r="F44" i="4" s="1"/>
  <c r="G44" i="4" s="1"/>
  <c r="H44" i="4" s="1"/>
  <c r="I44" i="4" s="1"/>
  <c r="J44" i="4" s="1"/>
  <c r="K44" i="4" s="1"/>
  <c r="L44" i="4" s="1"/>
  <c r="M44" i="4" s="1"/>
  <c r="N44" i="4" s="1"/>
  <c r="E43" i="4"/>
  <c r="F43" i="4" s="1"/>
  <c r="G43" i="4" s="1"/>
  <c r="H43" i="4" s="1"/>
  <c r="I43" i="4" s="1"/>
  <c r="J43" i="4" s="1"/>
  <c r="K43" i="4" s="1"/>
  <c r="L43" i="4" s="1"/>
  <c r="M43" i="4" s="1"/>
  <c r="N43" i="4" s="1"/>
  <c r="M71" i="4"/>
  <c r="L72" i="4"/>
  <c r="L71" i="4"/>
  <c r="O70" i="4"/>
  <c r="D71" i="4"/>
  <c r="D72" i="4"/>
  <c r="M88" i="4"/>
  <c r="M90" i="4" s="1"/>
  <c r="H72" i="4"/>
  <c r="H71" i="4"/>
  <c r="F72" i="4"/>
  <c r="F71" i="4"/>
  <c r="J71" i="4"/>
  <c r="J72" i="4"/>
  <c r="P63" i="4"/>
  <c r="K72" i="4"/>
  <c r="K71" i="4"/>
  <c r="I71" i="4"/>
  <c r="I72" i="4"/>
  <c r="E72" i="4"/>
  <c r="E71" i="4"/>
  <c r="O77" i="4"/>
  <c r="D78" i="4"/>
  <c r="G88" i="4" l="1"/>
  <c r="G90" i="4" s="1"/>
  <c r="N88" i="4"/>
  <c r="N90" i="4" s="1"/>
  <c r="D99" i="4"/>
  <c r="E99" i="4" s="1"/>
  <c r="F99" i="4" s="1"/>
  <c r="G99" i="4" s="1"/>
  <c r="H99" i="4" s="1"/>
  <c r="I99" i="4" s="1"/>
  <c r="J99" i="4" s="1"/>
  <c r="K99" i="4" s="1"/>
  <c r="L99" i="4" s="1"/>
  <c r="M99" i="4" s="1"/>
  <c r="N99" i="4" s="1"/>
  <c r="J88" i="4"/>
  <c r="J90" i="4" s="1"/>
  <c r="H88" i="4"/>
  <c r="H90" i="4" s="1"/>
  <c r="O71" i="4"/>
  <c r="D73" i="4"/>
  <c r="D98" i="4" s="1"/>
  <c r="D82" i="4"/>
  <c r="E81" i="4" s="1"/>
  <c r="E82" i="4" s="1"/>
  <c r="F81" i="4" s="1"/>
  <c r="F82" i="4" s="1"/>
  <c r="G81" i="4" s="1"/>
  <c r="G82" i="4" s="1"/>
  <c r="H81" i="4" s="1"/>
  <c r="H82" i="4" s="1"/>
  <c r="I81" i="4" s="1"/>
  <c r="I82" i="4" s="1"/>
  <c r="J81" i="4" s="1"/>
  <c r="J82" i="4" s="1"/>
  <c r="K81" i="4" s="1"/>
  <c r="K82" i="4" s="1"/>
  <c r="L81" i="4" s="1"/>
  <c r="L82" i="4" s="1"/>
  <c r="M81" i="4" s="1"/>
  <c r="M82" i="4" s="1"/>
  <c r="N81" i="4" s="1"/>
  <c r="N82" i="4" s="1"/>
  <c r="O78" i="4"/>
  <c r="E88" i="4"/>
  <c r="E90" i="4" s="1"/>
  <c r="F88" i="4"/>
  <c r="F90" i="4" s="1"/>
  <c r="O72" i="4"/>
  <c r="P72" i="4" s="1"/>
  <c r="D59" i="7" s="1"/>
  <c r="L1" i="7" s="1"/>
  <c r="D88" i="4"/>
  <c r="L88" i="4"/>
  <c r="L90" i="4" s="1"/>
  <c r="P77" i="4"/>
  <c r="K88" i="4"/>
  <c r="K90" i="4" s="1"/>
  <c r="I88" i="4"/>
  <c r="I90" i="4" s="1"/>
  <c r="P70" i="4"/>
  <c r="I59" i="7" l="1"/>
  <c r="M1" i="7" s="1"/>
  <c r="E73" i="4"/>
  <c r="E98" i="4" s="1"/>
  <c r="P78" i="4"/>
  <c r="O82" i="4"/>
  <c r="Q81" i="4"/>
  <c r="AC81" i="4" s="1"/>
  <c r="W63" i="4"/>
  <c r="W77" i="4" s="1"/>
  <c r="AL63" i="4"/>
  <c r="AL77" i="4" s="1"/>
  <c r="AM63" i="4"/>
  <c r="AM77" i="4" s="1"/>
  <c r="AA63" i="4"/>
  <c r="AA77" i="4" s="1"/>
  <c r="AB63" i="4"/>
  <c r="AB77" i="4" s="1"/>
  <c r="T63" i="4"/>
  <c r="T77" i="4" s="1"/>
  <c r="AJ63" i="4"/>
  <c r="AJ77" i="4" s="1"/>
  <c r="U63" i="4"/>
  <c r="U77" i="4" s="1"/>
  <c r="AK63" i="4"/>
  <c r="AK77" i="4" s="1"/>
  <c r="AG63" i="4"/>
  <c r="AG77" i="4" s="1"/>
  <c r="S63" i="4"/>
  <c r="S77" i="4" s="1"/>
  <c r="V63" i="4"/>
  <c r="V77" i="4" s="1"/>
  <c r="Z63" i="4"/>
  <c r="Z77" i="4" s="1"/>
  <c r="AH63" i="4"/>
  <c r="AH77" i="4" s="1"/>
  <c r="X63" i="4"/>
  <c r="X77" i="4" s="1"/>
  <c r="AF63" i="4"/>
  <c r="AF77" i="4" s="1"/>
  <c r="AO63" i="4"/>
  <c r="AO77" i="4" s="1"/>
  <c r="AI63" i="4"/>
  <c r="AI77" i="4" s="1"/>
  <c r="AP63" i="4"/>
  <c r="AP77" i="4" s="1"/>
  <c r="Y63" i="4"/>
  <c r="Y77" i="4" s="1"/>
  <c r="AN63" i="4"/>
  <c r="AN77" i="4" s="1"/>
  <c r="R63" i="4"/>
  <c r="R77" i="4" s="1"/>
  <c r="D89" i="4"/>
  <c r="E89" i="4" s="1"/>
  <c r="F89" i="4" s="1"/>
  <c r="G89" i="4" s="1"/>
  <c r="H89" i="4" s="1"/>
  <c r="I89" i="4" s="1"/>
  <c r="J89" i="4" s="1"/>
  <c r="K89" i="4" s="1"/>
  <c r="L89" i="4" s="1"/>
  <c r="M89" i="4" s="1"/>
  <c r="N89" i="4" s="1"/>
  <c r="D90" i="4"/>
  <c r="D91" i="4" s="1"/>
  <c r="E91" i="4" s="1"/>
  <c r="F91" i="4" s="1"/>
  <c r="G91" i="4" s="1"/>
  <c r="H91" i="4" s="1"/>
  <c r="I91" i="4" s="1"/>
  <c r="J91" i="4" s="1"/>
  <c r="K91" i="4" s="1"/>
  <c r="L91" i="4" s="1"/>
  <c r="M91" i="4" s="1"/>
  <c r="N91" i="4" s="1"/>
  <c r="P71" i="4"/>
  <c r="F73" i="4" l="1"/>
  <c r="F98" i="4" s="1"/>
  <c r="AF70" i="4"/>
  <c r="AF42" i="4"/>
  <c r="AF78" i="4"/>
  <c r="AB70" i="4"/>
  <c r="AB78" i="4"/>
  <c r="AB42" i="4"/>
  <c r="AL42" i="4"/>
  <c r="AL78" i="4"/>
  <c r="AL70" i="4"/>
  <c r="V42" i="4"/>
  <c r="V70" i="4"/>
  <c r="V78" i="4"/>
  <c r="AP42" i="4"/>
  <c r="AP70" i="4"/>
  <c r="AP78" i="4"/>
  <c r="X42" i="4"/>
  <c r="X70" i="4"/>
  <c r="X78" i="4"/>
  <c r="S42" i="4"/>
  <c r="S70" i="4"/>
  <c r="S78" i="4"/>
  <c r="AC60" i="4"/>
  <c r="Q63" i="4"/>
  <c r="Q77" i="4" s="1"/>
  <c r="AA42" i="4"/>
  <c r="AA78" i="4"/>
  <c r="AA70" i="4"/>
  <c r="W70" i="4"/>
  <c r="W42" i="4"/>
  <c r="W78" i="4"/>
  <c r="Y42" i="4"/>
  <c r="Y78" i="4"/>
  <c r="Y70" i="4"/>
  <c r="U42" i="4"/>
  <c r="U78" i="4"/>
  <c r="U70" i="4"/>
  <c r="R42" i="4"/>
  <c r="R70" i="4"/>
  <c r="R78" i="4"/>
  <c r="AI78" i="4"/>
  <c r="AI42" i="4"/>
  <c r="AI70" i="4"/>
  <c r="AH42" i="4"/>
  <c r="AH70" i="4"/>
  <c r="AH78" i="4"/>
  <c r="AG42" i="4"/>
  <c r="AG70" i="4"/>
  <c r="AG78" i="4"/>
  <c r="AJ78" i="4"/>
  <c r="AJ70" i="4"/>
  <c r="AJ42" i="4"/>
  <c r="AQ60" i="4"/>
  <c r="AE63" i="4"/>
  <c r="AE77" i="4" s="1"/>
  <c r="AN42" i="4"/>
  <c r="AN78" i="4"/>
  <c r="AN70" i="4"/>
  <c r="AO78" i="4"/>
  <c r="AO42" i="4"/>
  <c r="AO70" i="4"/>
  <c r="Z78" i="4"/>
  <c r="Z70" i="4"/>
  <c r="Z42" i="4"/>
  <c r="AK42" i="4"/>
  <c r="AK70" i="4"/>
  <c r="AK78" i="4"/>
  <c r="T70" i="4"/>
  <c r="T42" i="4"/>
  <c r="T78" i="4"/>
  <c r="AM42" i="4"/>
  <c r="AM78" i="4"/>
  <c r="AM70" i="4"/>
  <c r="G73" i="4" l="1"/>
  <c r="G98" i="4" s="1"/>
  <c r="Z71" i="4"/>
  <c r="Z72" i="4"/>
  <c r="AJ72" i="4"/>
  <c r="AJ71" i="4"/>
  <c r="AI72" i="4"/>
  <c r="AI71" i="4"/>
  <c r="R72" i="4"/>
  <c r="R71" i="4"/>
  <c r="U72" i="4"/>
  <c r="U71" i="4"/>
  <c r="W71" i="4"/>
  <c r="W72" i="4"/>
  <c r="Q42" i="4"/>
  <c r="Q70" i="4"/>
  <c r="V71" i="4"/>
  <c r="V72" i="4"/>
  <c r="AB71" i="4"/>
  <c r="AB72" i="4"/>
  <c r="AK72" i="4"/>
  <c r="AK71" i="4"/>
  <c r="AE42" i="4"/>
  <c r="AE70" i="4"/>
  <c r="AA72" i="4"/>
  <c r="AA71" i="4"/>
  <c r="AD60" i="4"/>
  <c r="AD63" i="4" s="1"/>
  <c r="AC63" i="4"/>
  <c r="AS60" i="4"/>
  <c r="AS63" i="4" s="1"/>
  <c r="AP71" i="4"/>
  <c r="AP72" i="4"/>
  <c r="AN72" i="4"/>
  <c r="AN71" i="4"/>
  <c r="AM71" i="4"/>
  <c r="AM72" i="4"/>
  <c r="AO71" i="4"/>
  <c r="AO72" i="4"/>
  <c r="AQ63" i="4"/>
  <c r="AR60" i="4"/>
  <c r="AR63" i="4" s="1"/>
  <c r="AH72" i="4"/>
  <c r="AH71" i="4"/>
  <c r="X72" i="4"/>
  <c r="X71" i="4"/>
  <c r="T72" i="4"/>
  <c r="T71" i="4"/>
  <c r="AG72" i="4"/>
  <c r="AG71" i="4"/>
  <c r="Y72" i="4"/>
  <c r="Y71" i="4"/>
  <c r="S71" i="4"/>
  <c r="S72" i="4"/>
  <c r="AL71" i="4"/>
  <c r="AL72" i="4"/>
  <c r="AF71" i="4"/>
  <c r="AF72" i="4"/>
  <c r="H73" i="4" l="1"/>
  <c r="H98" i="4" s="1"/>
  <c r="AH88" i="4"/>
  <c r="AH90" i="4" s="1"/>
  <c r="AA88" i="4"/>
  <c r="AA90" i="4" s="1"/>
  <c r="AE71" i="4"/>
  <c r="AQ70" i="4"/>
  <c r="AR70" i="4" s="1"/>
  <c r="AE72" i="4"/>
  <c r="AK88" i="4"/>
  <c r="AK90" i="4" s="1"/>
  <c r="W88" i="4"/>
  <c r="W90" i="4" s="1"/>
  <c r="U88" i="4"/>
  <c r="U90" i="4" s="1"/>
  <c r="AI88" i="4"/>
  <c r="AI90" i="4" s="1"/>
  <c r="AF88" i="4"/>
  <c r="AF90" i="4" s="1"/>
  <c r="Y88" i="4"/>
  <c r="Y90" i="4" s="1"/>
  <c r="AL88" i="4"/>
  <c r="AL90" i="4" s="1"/>
  <c r="S88" i="4"/>
  <c r="S90" i="4" s="1"/>
  <c r="T88" i="4"/>
  <c r="T90" i="4" s="1"/>
  <c r="AO88" i="4"/>
  <c r="AO90" i="4" s="1"/>
  <c r="AM88" i="4"/>
  <c r="AM90" i="4" s="1"/>
  <c r="AP88" i="4"/>
  <c r="AP90" i="4" s="1"/>
  <c r="AQ77" i="4"/>
  <c r="AR77" i="4" s="1"/>
  <c r="AE78" i="4"/>
  <c r="V88" i="4"/>
  <c r="V90" i="4" s="1"/>
  <c r="AC70" i="4"/>
  <c r="Q71" i="4"/>
  <c r="Q72" i="4"/>
  <c r="Q99" i="4" s="1"/>
  <c r="R99" i="4" s="1"/>
  <c r="S99" i="4" s="1"/>
  <c r="T99" i="4" s="1"/>
  <c r="U99" i="4" s="1"/>
  <c r="V99" i="4" s="1"/>
  <c r="W99" i="4" s="1"/>
  <c r="X99" i="4" s="1"/>
  <c r="Y99" i="4" s="1"/>
  <c r="Z99" i="4" s="1"/>
  <c r="AA99" i="4" s="1"/>
  <c r="AB99" i="4" s="1"/>
  <c r="Z88" i="4"/>
  <c r="Z90" i="4" s="1"/>
  <c r="AB88" i="4"/>
  <c r="AB90" i="4" s="1"/>
  <c r="Q43" i="4"/>
  <c r="R43" i="4" s="1"/>
  <c r="S43" i="4" s="1"/>
  <c r="T43" i="4" s="1"/>
  <c r="U43" i="4" s="1"/>
  <c r="V43" i="4" s="1"/>
  <c r="W43" i="4" s="1"/>
  <c r="X43" i="4" s="1"/>
  <c r="Y43" i="4" s="1"/>
  <c r="Z43" i="4" s="1"/>
  <c r="AA43" i="4" s="1"/>
  <c r="AB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Q44" i="4"/>
  <c r="R44" i="4" s="1"/>
  <c r="S44" i="4" s="1"/>
  <c r="T44" i="4" s="1"/>
  <c r="U44" i="4" s="1"/>
  <c r="V44" i="4" s="1"/>
  <c r="W44" i="4" s="1"/>
  <c r="X44" i="4" s="1"/>
  <c r="Y44" i="4" s="1"/>
  <c r="Z44" i="4" s="1"/>
  <c r="AA44" i="4" s="1"/>
  <c r="AB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AO44" i="4" s="1"/>
  <c r="AP44" i="4" s="1"/>
  <c r="R88" i="4"/>
  <c r="R90" i="4" s="1"/>
  <c r="AG88" i="4"/>
  <c r="AG90" i="4" s="1"/>
  <c r="X88" i="4"/>
  <c r="X90" i="4" s="1"/>
  <c r="AN88" i="4"/>
  <c r="AN90" i="4" s="1"/>
  <c r="AC77" i="4"/>
  <c r="Q78" i="4"/>
  <c r="AJ88" i="4"/>
  <c r="AJ90" i="4" s="1"/>
  <c r="AE99" i="4" l="1"/>
  <c r="AF99" i="4" s="1"/>
  <c r="AG99" i="4" s="1"/>
  <c r="AH99" i="4" s="1"/>
  <c r="AI99" i="4" s="1"/>
  <c r="AJ99" i="4" s="1"/>
  <c r="AK99" i="4" s="1"/>
  <c r="AL99" i="4" s="1"/>
  <c r="AM99" i="4" s="1"/>
  <c r="AN99" i="4" s="1"/>
  <c r="AO99" i="4" s="1"/>
  <c r="AP99" i="4" s="1"/>
  <c r="I73" i="4"/>
  <c r="I98" i="4" s="1"/>
  <c r="AD77" i="4"/>
  <c r="AS77" i="4"/>
  <c r="AQ78" i="4"/>
  <c r="AR78" i="4" s="1"/>
  <c r="AD70" i="4"/>
  <c r="AS70" i="4"/>
  <c r="AQ71" i="4"/>
  <c r="AR71" i="4" s="1"/>
  <c r="AC71" i="4"/>
  <c r="AE88" i="4"/>
  <c r="AE90" i="4" s="1"/>
  <c r="AQ72" i="4"/>
  <c r="AR72" i="4" s="1"/>
  <c r="AC78" i="4"/>
  <c r="Q82" i="4"/>
  <c r="R81" i="4" s="1"/>
  <c r="R82" i="4" s="1"/>
  <c r="S81" i="4" s="1"/>
  <c r="S82" i="4" s="1"/>
  <c r="T81" i="4" s="1"/>
  <c r="T82" i="4" s="1"/>
  <c r="U81" i="4" s="1"/>
  <c r="U82" i="4" s="1"/>
  <c r="V81" i="4" s="1"/>
  <c r="V82" i="4" s="1"/>
  <c r="W81" i="4" s="1"/>
  <c r="W82" i="4" s="1"/>
  <c r="X81" i="4" s="1"/>
  <c r="X82" i="4" s="1"/>
  <c r="Y81" i="4" s="1"/>
  <c r="Y82" i="4" s="1"/>
  <c r="Z81" i="4" s="1"/>
  <c r="Z82" i="4" s="1"/>
  <c r="AA81" i="4" s="1"/>
  <c r="AA82" i="4" s="1"/>
  <c r="AB81" i="4" s="1"/>
  <c r="AB82" i="4" s="1"/>
  <c r="Q88" i="4"/>
  <c r="AC72" i="4"/>
  <c r="AD72" i="4" s="1"/>
  <c r="D61" i="7" l="1"/>
  <c r="L2" i="7" s="1"/>
  <c r="I61" i="7"/>
  <c r="M2" i="7" s="1"/>
  <c r="D63" i="7"/>
  <c r="L3" i="7" s="1"/>
  <c r="I63" i="7"/>
  <c r="M3" i="7" s="1"/>
  <c r="J73" i="4"/>
  <c r="J98" i="4" s="1"/>
  <c r="AC82" i="4"/>
  <c r="AE81" i="4"/>
  <c r="AD78" i="4"/>
  <c r="AS78" i="4"/>
  <c r="AD71" i="4"/>
  <c r="AS71" i="4"/>
  <c r="Q90" i="4"/>
  <c r="Q91" i="4" s="1"/>
  <c r="R91" i="4" s="1"/>
  <c r="S91" i="4" s="1"/>
  <c r="T91" i="4" s="1"/>
  <c r="U91" i="4" s="1"/>
  <c r="V91" i="4" s="1"/>
  <c r="W91" i="4" s="1"/>
  <c r="X91" i="4" s="1"/>
  <c r="Y91" i="4" s="1"/>
  <c r="Z91" i="4" s="1"/>
  <c r="AA91" i="4" s="1"/>
  <c r="AB91" i="4" s="1"/>
  <c r="AE91" i="4" s="1"/>
  <c r="AF91" i="4" s="1"/>
  <c r="AG91" i="4" s="1"/>
  <c r="AH91" i="4" s="1"/>
  <c r="AI91" i="4" s="1"/>
  <c r="AJ91" i="4" s="1"/>
  <c r="AK91" i="4" s="1"/>
  <c r="AL91" i="4" s="1"/>
  <c r="AM91" i="4" s="1"/>
  <c r="AN91" i="4" s="1"/>
  <c r="AO91" i="4" s="1"/>
  <c r="AP91" i="4" s="1"/>
  <c r="Q89" i="4"/>
  <c r="R89" i="4" s="1"/>
  <c r="S89" i="4" s="1"/>
  <c r="T89" i="4" s="1"/>
  <c r="U89" i="4" s="1"/>
  <c r="V89" i="4" s="1"/>
  <c r="W89" i="4" s="1"/>
  <c r="X89" i="4" s="1"/>
  <c r="Y89" i="4" s="1"/>
  <c r="Z89" i="4" s="1"/>
  <c r="AA89" i="4" s="1"/>
  <c r="AB89" i="4" s="1"/>
  <c r="AE89" i="4" s="1"/>
  <c r="AF89" i="4" s="1"/>
  <c r="AG89" i="4" s="1"/>
  <c r="AH89" i="4" s="1"/>
  <c r="AI89" i="4" s="1"/>
  <c r="AJ89" i="4" s="1"/>
  <c r="AK89" i="4" s="1"/>
  <c r="AL89" i="4" s="1"/>
  <c r="AM89" i="4" s="1"/>
  <c r="AN89" i="4" s="1"/>
  <c r="AO89" i="4" s="1"/>
  <c r="AP89" i="4" s="1"/>
  <c r="AS99" i="4"/>
  <c r="AS101" i="4" s="1"/>
  <c r="B96" i="4" l="1"/>
  <c r="D65" i="7" s="1"/>
  <c r="L4" i="7" s="1"/>
  <c r="K73" i="4"/>
  <c r="K98" i="4" s="1"/>
  <c r="AQ81" i="4"/>
  <c r="AE82" i="4"/>
  <c r="AF81" i="4" s="1"/>
  <c r="AF82" i="4" s="1"/>
  <c r="AG81" i="4" s="1"/>
  <c r="AG82" i="4" s="1"/>
  <c r="AH81" i="4" s="1"/>
  <c r="AH82" i="4" s="1"/>
  <c r="AI81" i="4" s="1"/>
  <c r="AI82" i="4" s="1"/>
  <c r="AJ81" i="4" s="1"/>
  <c r="AJ82" i="4" s="1"/>
  <c r="AK81" i="4" s="1"/>
  <c r="AK82" i="4" s="1"/>
  <c r="AL81" i="4" s="1"/>
  <c r="AL82" i="4" s="1"/>
  <c r="AM81" i="4" s="1"/>
  <c r="AM82" i="4" s="1"/>
  <c r="AN81" i="4" s="1"/>
  <c r="AN82" i="4" s="1"/>
  <c r="AO81" i="4" s="1"/>
  <c r="AO82" i="4" s="1"/>
  <c r="AP81" i="4" s="1"/>
  <c r="AP82" i="4" s="1"/>
  <c r="AQ82" i="4" s="1"/>
  <c r="AS82" i="4" s="1"/>
  <c r="B94" i="4"/>
  <c r="B93" i="4"/>
  <c r="L73" i="4" l="1"/>
  <c r="L98" i="4" s="1"/>
  <c r="M73" i="4" l="1"/>
  <c r="N73" i="4" s="1"/>
  <c r="M98" i="4" l="1"/>
  <c r="O73" i="4"/>
  <c r="N98" i="4"/>
  <c r="Q73" i="4"/>
  <c r="Q98" i="4" l="1"/>
  <c r="R73" i="4"/>
  <c r="R98" i="4" l="1"/>
  <c r="S73" i="4"/>
  <c r="S98" i="4" l="1"/>
  <c r="T73" i="4"/>
  <c r="T98" i="4" l="1"/>
  <c r="U73" i="4"/>
  <c r="U98" i="4" l="1"/>
  <c r="V73" i="4"/>
  <c r="V98" i="4" l="1"/>
  <c r="W73" i="4"/>
  <c r="W98" i="4" l="1"/>
  <c r="X73" i="4"/>
  <c r="X98" i="4" l="1"/>
  <c r="Y73" i="4"/>
  <c r="Y98" i="4" l="1"/>
  <c r="Z73" i="4"/>
  <c r="Z98" i="4" l="1"/>
  <c r="AA73" i="4"/>
  <c r="AA98" i="4" l="1"/>
  <c r="AB73" i="4"/>
  <c r="AC73" i="4" l="1"/>
  <c r="AB98" i="4"/>
  <c r="AE73" i="4"/>
  <c r="AE98" i="4" l="1"/>
  <c r="AF73" i="4"/>
  <c r="AF98" i="4" l="1"/>
  <c r="AG73" i="4"/>
  <c r="AG98" i="4" l="1"/>
  <c r="AH73" i="4"/>
  <c r="AH98" i="4" l="1"/>
  <c r="AI73" i="4"/>
  <c r="AI98" i="4" l="1"/>
  <c r="AJ73" i="4"/>
  <c r="AJ98" i="4" l="1"/>
  <c r="AK73" i="4"/>
  <c r="AK98" i="4" l="1"/>
  <c r="AL73" i="4"/>
  <c r="AL98" i="4" l="1"/>
  <c r="AM73" i="4"/>
  <c r="AM98" i="4" l="1"/>
  <c r="AN73" i="4"/>
  <c r="AN98" i="4" l="1"/>
  <c r="AO73" i="4"/>
  <c r="AO98" i="4" l="1"/>
  <c r="AP73" i="4"/>
  <c r="AQ73" i="4" l="1"/>
  <c r="AP98" i="4"/>
  <c r="AS98" i="4" s="1"/>
  <c r="AS100" i="4" s="1"/>
  <c r="B95" i="4" l="1"/>
  <c r="D2" i="4" l="1"/>
  <c r="D67" i="7"/>
  <c r="L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71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 - инвестиции , т.е. чистая прибыль - инвестиции</t>
        </r>
      </text>
    </comment>
    <comment ref="A72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= чистая прибыль</t>
        </r>
      </text>
    </comment>
    <comment ref="A73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- инвестиции.
Показывает с какого месяца проект окупился.</t>
        </r>
      </text>
    </comment>
    <comment ref="A76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Выручка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7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Себестоимость + текущие затраты</t>
        </r>
      </text>
    </comment>
    <comment ref="A78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чистая прибыль</t>
        </r>
      </text>
    </comment>
    <comment ref="A79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инвестиции</t>
        </r>
      </text>
    </comment>
    <comment ref="A80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привлечение средств для осуществления инвестиций</t>
        </r>
      </text>
    </comment>
    <comment ref="A81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Деньги на начало месяца (накопленная чистая прибыль за прошлые месяцы)</t>
        </r>
      </text>
    </comment>
    <comment ref="A82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Деньги на конец месяца (накопленная чистая прибыль за прошлые месяцы с учетом текущего месяца)</t>
        </r>
      </text>
    </comment>
    <comment ref="A86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коэффициент обесценивания денег</t>
        </r>
      </text>
    </comment>
    <comment ref="A88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</t>
        </r>
      </text>
    </comment>
    <comment ref="A89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</t>
        </r>
      </text>
    </comment>
    <comment ref="A90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 с учетом применения дисконтрования (обесценивания денег)</t>
        </r>
      </text>
    </comment>
    <comment ref="A91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 с учетом применения дисконтрования (обесценивания денег)</t>
        </r>
      </text>
    </comment>
    <comment ref="A93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Дисконтированная чистая прибыль суммарно за 3 года - инвестиции</t>
        </r>
      </text>
    </comment>
    <comment ref="A94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95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96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Количество месяцев, за которые появится чистая прибыль, т.е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<sst xmlns="http://schemas.openxmlformats.org/spreadsheetml/2006/main" count="265" uniqueCount="170">
  <si>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</si>
  <si>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</si>
  <si>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</si>
  <si>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</si>
  <si>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</si>
  <si>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</si>
  <si>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</si>
  <si>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</si>
  <si>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</si>
  <si>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</si>
  <si>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</si>
  <si>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</si>
  <si>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</si>
  <si>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</si>
  <si>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</si>
  <si>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</si>
  <si>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</si>
  <si>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</si>
  <si>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</si>
  <si>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</si>
  <si>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</si>
  <si>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</si>
  <si>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</si>
  <si>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</si>
  <si>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</si>
  <si>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</si>
  <si>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</si>
  <si>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</si>
  <si>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</si>
  <si>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</si>
  <si>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</si>
  <si>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</si>
  <si>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</si>
  <si>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</si>
  <si>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</si>
  <si>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</si>
  <si>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</si>
  <si>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</si>
  <si>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</si>
  <si>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</si>
  <si>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</si>
  <si>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</si>
  <si>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</si>
  <si>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</si>
  <si>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Местная реклама (буклеты, печатная продукция и т.д.)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</si>
  <si>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</si>
  <si>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</si>
  <si>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</si>
  <si>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</si>
  <si>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</si>
  <si>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Хозяйственные нужды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</si>
  <si>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</si>
  <si>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</si>
  <si>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</si>
  <si>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</si>
  <si>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</si>
  <si>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</si>
  <si>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</si>
  <si>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</si>
  <si>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</si>
  <si>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UAH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</si>
  <si>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</si>
  <si>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</si>
  <si>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</si>
  <si>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</si>
  <si>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</si>
  <si>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</si>
  <si>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Сервисное обслуживание техники и оборудования</t>
  </si>
  <si>
    <t>Услуги связи и интернет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</si>
  <si>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</si>
  <si>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</si>
  <si>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Охрана</t>
  </si>
  <si>
    <t>накопленная прибыль</t>
  </si>
  <si>
    <t>общая выручка</t>
  </si>
  <si>
    <t>Удельный вес в объеме выручки за 1-й год работы</t>
  </si>
  <si>
    <t>Налоги</t>
  </si>
  <si>
    <t>июнь</t>
  </si>
  <si>
    <t>Обучение персонала</t>
  </si>
  <si>
    <t>Транспортные расходы</t>
  </si>
  <si>
    <t>Выход продаж на плановые показатели и дальнейший рост объемов*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</si>
  <si>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</si>
  <si>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</si>
  <si>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</si>
  <si>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Роялти</t>
  </si>
  <si>
    <t>Среднемесячная сумма затрат за 1-й год работы</t>
  </si>
  <si>
    <t>накопленная прибыль с покрытыми убытками</t>
  </si>
  <si>
    <t>Формат сотрудничества</t>
  </si>
  <si>
    <t>ИНВЕСТИЦИИ</t>
  </si>
  <si>
    <t>Роялти, % от общей выручки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</si>
  <si>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</si>
  <si>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</si>
  <si>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</si>
  <si>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Форматы сотрудничества (название)</t>
  </si>
  <si>
    <t>Банковское обслуживание</t>
  </si>
  <si>
    <t>Маркетинговые отчисления, % от общей выручки</t>
  </si>
  <si>
    <t>Маркетинговые отчисления</t>
  </si>
  <si>
    <t>Процент выхода продаж на плановые показатели*, %</t>
  </si>
  <si>
    <t>Рост заработной платы (фиксированного оклада)**, %</t>
  </si>
  <si>
    <t>Рост арендной платы**, %</t>
  </si>
  <si>
    <t>Порядковый месяц от начала работы</t>
  </si>
  <si>
    <t>Коэффициент дисконтирования, % годовых</t>
  </si>
  <si>
    <t>Ведение бухгалтерского учета</t>
  </si>
  <si>
    <t>или</t>
  </si>
  <si>
    <t>Рентабельность (чистая прибыль/выручка), %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</si>
  <si>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  <r>
      <rPr>
        <b/>
        <sz val="8"/>
        <color rgb="FFFF0000"/>
        <rFont val="Arial Cyr"/>
        <charset val="204"/>
      </rPr>
      <t xml:space="preserve"> </t>
    </r>
  </si>
  <si>
    <t>% от выручки, который проходит по безналичному расчету</t>
  </si>
  <si>
    <t>размер банковской комиссии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</si>
  <si>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</si>
  <si>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</si>
  <si>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</si>
  <si>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</si>
  <si>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</si>
  <si>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</si>
  <si>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</si>
  <si>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</si>
  <si>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</si>
  <si>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</si>
  <si>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</si>
  <si>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Мебель</t>
  </si>
  <si>
    <t>Оборудование</t>
  </si>
  <si>
    <t>Количество сотрудников, чел.</t>
  </si>
  <si>
    <t>ДИНАМИКА СЕБЕСТОИМОСТИ</t>
  </si>
  <si>
    <t>Курс валют (1 единица валюты = указанному количеству гривен)</t>
  </si>
  <si>
    <t>Параметры сезонности и выхода продаж на плановые показатели и дальнейший рост объемов продаж</t>
  </si>
  <si>
    <t>Процент влияния сезона на плановые показатели по выручке*, %</t>
  </si>
  <si>
    <t>Название месяца</t>
  </si>
  <si>
    <t>Процент влияния сезонности на плановые показатели по выручке*</t>
  </si>
  <si>
    <t>Фиксированный оклад в день</t>
  </si>
  <si>
    <t>UAH/день</t>
  </si>
  <si>
    <t>UAH/мес.* или %</t>
  </si>
  <si>
    <t>Униформа персонала</t>
  </si>
  <si>
    <t>Униформа персонала*</t>
  </si>
  <si>
    <t>Себестоимость</t>
  </si>
  <si>
    <t>Исходные данные для финансовой модели франшизы фитнес клуба  "АтлетиКо"</t>
  </si>
  <si>
    <t>Финансовая модель франшизы фитнес клуба  "АтлетиКо"</t>
  </si>
  <si>
    <t>Группы услуг</t>
  </si>
  <si>
    <t>Доп. Услуги</t>
  </si>
  <si>
    <t>Стоимость абонемента</t>
  </si>
  <si>
    <t>Количество проданных абонементов в месяц, шт./мес.</t>
  </si>
  <si>
    <t>Наценка, %</t>
  </si>
  <si>
    <t>Плановая среднемесячная выручка</t>
  </si>
  <si>
    <t>UAH/мес.</t>
  </si>
  <si>
    <t xml:space="preserve"> * - процент по отношению к данным о стоимости абонемента и количеству проданных абонементов в месц,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</si>
  <si>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>Управляющий</t>
  </si>
  <si>
    <t>Администратор</t>
  </si>
  <si>
    <t>Уборщица</t>
  </si>
  <si>
    <t>Количество рабочих дней в месяц у каждого сотрудника, дней</t>
  </si>
  <si>
    <t>UAH/шт.</t>
  </si>
  <si>
    <t xml:space="preserve">фиксированная сумма	</t>
  </si>
  <si>
    <t>% от общей выручки</t>
  </si>
  <si>
    <t xml:space="preserve"> * - без учета параметров сезонности и выхода продаж на плановые показатели и дальнейший рост объемов продаж, которые указываются на странице "Исходные данные".</t>
  </si>
  <si>
    <t>Налоги, % от общей выручки</t>
  </si>
  <si>
    <t>Налоги, фиксированная сумма</t>
  </si>
  <si>
    <r>
      <t xml:space="preserve"> </t>
    </r>
    <r>
      <rPr>
        <sz val="14"/>
        <rFont val="Calibri"/>
        <family val="2"/>
        <charset val="204"/>
        <scheme val="minor"/>
      </rPr>
      <t>* - затраты на униформу персонала осуществляются в указанной сумме раз в 6 месяцев.</t>
    </r>
  </si>
  <si>
    <t>Вид оплаты налогов</t>
  </si>
  <si>
    <t>S до 300 м.кв.</t>
  </si>
  <si>
    <t>S до 600 м.кв.</t>
  </si>
  <si>
    <t>S от 600 м.кв.</t>
  </si>
  <si>
    <t>Утренний абонемент (7:00-17:00)</t>
  </si>
  <si>
    <t>Дневной абонемент (12:00-15:00)</t>
  </si>
  <si>
    <t>Безлим.абонемент (7:00-23:00)</t>
  </si>
  <si>
    <t>5 разовый абонемент</t>
  </si>
  <si>
    <t>Абонементы на групповые занятия</t>
  </si>
  <si>
    <t>прибвль в мес. 1-й год</t>
  </si>
  <si>
    <t>прибвль в мес. 2-й год</t>
  </si>
  <si>
    <t>прибвль в мес. 3-й год</t>
  </si>
  <si>
    <t>самоокуп.</t>
  </si>
  <si>
    <t>окуп. Инвест</t>
  </si>
  <si>
    <t>инвест без пауш.</t>
  </si>
  <si>
    <t>паушальн.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</si>
</sst>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38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10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2" fillId="3" borderId="0" xfId="3" applyFont="1" applyFill="1" applyBorder="1" applyAlignment="1">
      <alignment vertical="center"/>
    </xf>
    <xf numFmtId="0" fontId="12" fillId="3" borderId="0" xfId="3" applyFont="1" applyFill="1" applyBorder="1" applyAlignment="1">
      <alignment vertical="center" wrapText="1"/>
    </xf>
    <xf numFmtId="0" fontId="13" fillId="3" borderId="0" xfId="3" applyFont="1" applyFill="1" applyBorder="1" applyAlignment="1">
      <alignment vertical="center" wrapText="1"/>
    </xf>
    <xf numFmtId="0" fontId="11" fillId="3" borderId="0" xfId="3" applyFont="1" applyFill="1"/>
    <xf numFmtId="0" fontId="11" fillId="0" borderId="0" xfId="3" applyFont="1"/>
    <xf numFmtId="0" fontId="14" fillId="0" borderId="0" xfId="3" applyFont="1"/>
    <xf numFmtId="0" fontId="15" fillId="4" borderId="6" xfId="3" applyFont="1" applyFill="1" applyBorder="1" applyAlignment="1">
      <alignment vertical="center"/>
    </xf>
    <xf numFmtId="0" fontId="15" fillId="4" borderId="6" xfId="3" applyFont="1" applyFill="1" applyBorder="1" applyAlignment="1">
      <alignment horizontal="center" vertical="center"/>
    </xf>
    <xf numFmtId="165" fontId="16" fillId="4" borderId="6" xfId="3" applyNumberFormat="1" applyFont="1" applyFill="1" applyBorder="1" applyAlignment="1">
      <alignment horizontal="center" vertical="center"/>
    </xf>
    <xf numFmtId="0" fontId="14" fillId="0" borderId="0" xfId="3" applyFont="1" applyBorder="1" applyAlignment="1">
      <alignment horizontal="left" vertical="center" wrapText="1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4" fillId="0" borderId="0" xfId="0" applyFont="1"/>
    <xf numFmtId="0" fontId="14" fillId="5" borderId="0" xfId="0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vertical="center"/>
    </xf>
    <xf numFmtId="9" fontId="14" fillId="0" borderId="0" xfId="4" applyFont="1" applyFill="1"/>
    <xf numFmtId="0" fontId="14" fillId="0" borderId="0" xfId="0" applyFont="1" applyFill="1"/>
    <xf numFmtId="0" fontId="19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3" fontId="14" fillId="5" borderId="0" xfId="0" applyNumberFormat="1" applyFont="1" applyFill="1" applyBorder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3" fontId="14" fillId="0" borderId="0" xfId="0" applyNumberFormat="1" applyFont="1" applyFill="1" applyBorder="1" applyAlignment="1">
      <alignment vertical="center"/>
    </xf>
    <xf numFmtId="3" fontId="14" fillId="0" borderId="0" xfId="4" applyNumberFormat="1" applyFont="1" applyFill="1"/>
    <xf numFmtId="3" fontId="14" fillId="0" borderId="0" xfId="0" applyNumberFormat="1" applyFont="1" applyFill="1"/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4" fontId="14" fillId="0" borderId="0" xfId="3" applyNumberFormat="1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10" fontId="17" fillId="0" borderId="0" xfId="0" applyNumberFormat="1" applyFont="1" applyBorder="1" applyAlignment="1">
      <alignment vertical="center"/>
    </xf>
    <xf numFmtId="166" fontId="14" fillId="0" borderId="0" xfId="0" applyNumberFormat="1" applyFont="1" applyFill="1" applyBorder="1" applyAlignment="1">
      <alignment horizontal="left" vertical="center"/>
    </xf>
    <xf numFmtId="166" fontId="14" fillId="0" borderId="0" xfId="0" applyNumberFormat="1" applyFont="1"/>
    <xf numFmtId="166" fontId="17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/>
    <xf numFmtId="3" fontId="20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vertical="center"/>
    </xf>
    <xf numFmtId="0" fontId="20" fillId="0" borderId="0" xfId="0" applyFont="1"/>
    <xf numFmtId="4" fontId="19" fillId="0" borderId="0" xfId="0" applyNumberFormat="1" applyFont="1"/>
    <xf numFmtId="0" fontId="23" fillId="0" borderId="0" xfId="0" applyFont="1"/>
    <xf numFmtId="0" fontId="22" fillId="0" borderId="0" xfId="0" applyFont="1"/>
    <xf numFmtId="0" fontId="24" fillId="3" borderId="0" xfId="3" applyFont="1" applyFill="1" applyBorder="1" applyAlignment="1">
      <alignment horizontal="left" vertical="center"/>
    </xf>
    <xf numFmtId="9" fontId="14" fillId="5" borderId="0" xfId="0" applyNumberFormat="1" applyFont="1" applyFill="1" applyBorder="1" applyAlignment="1">
      <alignment horizontal="left" vertical="center"/>
    </xf>
    <xf numFmtId="9" fontId="14" fillId="0" borderId="0" xfId="0" applyNumberFormat="1" applyFont="1" applyFill="1" applyBorder="1" applyAlignment="1">
      <alignment horizontal="left" vertical="center"/>
    </xf>
    <xf numFmtId="0" fontId="14" fillId="6" borderId="0" xfId="3" applyFont="1" applyFill="1" applyBorder="1" applyAlignment="1">
      <alignment horizontal="center" vertical="center"/>
    </xf>
    <xf numFmtId="0" fontId="14" fillId="6" borderId="0" xfId="3" applyFont="1" applyFill="1"/>
    <xf numFmtId="0" fontId="26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/>
    <xf numFmtId="3" fontId="14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10" fontId="28" fillId="0" borderId="0" xfId="2" applyNumberFormat="1" applyFont="1"/>
    <xf numFmtId="0" fontId="27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29" fillId="0" borderId="0" xfId="0" applyFont="1" applyAlignment="1">
      <alignment vertical="center"/>
    </xf>
    <xf numFmtId="0" fontId="28" fillId="6" borderId="0" xfId="0" applyFont="1" applyFill="1" applyProtection="1">
      <protection locked="0"/>
    </xf>
    <xf numFmtId="0" fontId="31" fillId="0" borderId="0" xfId="0" applyFont="1" applyAlignment="1">
      <alignment vertical="center"/>
    </xf>
    <xf numFmtId="9" fontId="10" fillId="6" borderId="0" xfId="2" applyFont="1" applyFill="1" applyBorder="1" applyAlignment="1">
      <alignment horizontal="left" vertical="center" indent="1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5" fillId="6" borderId="0" xfId="0" applyFont="1" applyFill="1" applyAlignment="1">
      <alignment vertical="center"/>
    </xf>
    <xf numFmtId="0" fontId="28" fillId="0" borderId="0" xfId="0" applyFont="1"/>
    <xf numFmtId="0" fontId="0" fillId="6" borderId="0" xfId="0" applyFill="1" applyBorder="1"/>
    <xf numFmtId="0" fontId="33" fillId="0" borderId="0" xfId="0" applyFont="1"/>
    <xf numFmtId="3" fontId="9" fillId="6" borderId="0" xfId="1" applyNumberFormat="1" applyFont="1" applyFill="1" applyBorder="1" applyAlignment="1">
      <alignment vertical="center"/>
    </xf>
    <xf numFmtId="9" fontId="9" fillId="6" borderId="0" xfId="2" applyFont="1" applyFill="1" applyBorder="1" applyAlignment="1">
      <alignment vertical="center"/>
    </xf>
    <xf numFmtId="9" fontId="14" fillId="6" borderId="0" xfId="3" applyNumberFormat="1" applyFont="1" applyFill="1" applyBorder="1" applyAlignment="1">
      <alignment horizontal="center" vertical="center"/>
    </xf>
    <xf numFmtId="0" fontId="14" fillId="6" borderId="0" xfId="3" applyFont="1" applyFill="1" applyBorder="1" applyAlignment="1">
      <alignment horizontal="left" vertical="center"/>
    </xf>
    <xf numFmtId="0" fontId="34" fillId="0" borderId="0" xfId="3" applyFont="1"/>
    <xf numFmtId="0" fontId="14" fillId="6" borderId="0" xfId="3" applyFont="1" applyFill="1" applyBorder="1"/>
    <xf numFmtId="0" fontId="11" fillId="6" borderId="0" xfId="3" applyFont="1" applyFill="1" applyBorder="1"/>
    <xf numFmtId="0" fontId="15" fillId="4" borderId="9" xfId="0" applyFont="1" applyFill="1" applyBorder="1" applyAlignment="1">
      <alignment horizontal="center" vertical="center"/>
    </xf>
    <xf numFmtId="0" fontId="15" fillId="4" borderId="9" xfId="3" applyFont="1" applyFill="1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3" fontId="19" fillId="0" borderId="7" xfId="0" applyNumberFormat="1" applyFont="1" applyFill="1" applyBorder="1" applyAlignment="1">
      <alignment vertical="center"/>
    </xf>
    <xf numFmtId="3" fontId="0" fillId="0" borderId="0" xfId="0" applyNumberFormat="1"/>
    <xf numFmtId="1" fontId="20" fillId="0" borderId="1" xfId="0" applyNumberFormat="1" applyFont="1" applyFill="1" applyBorder="1"/>
    <xf numFmtId="0" fontId="2" fillId="0" borderId="0" xfId="0" applyFont="1"/>
    <xf numFmtId="0" fontId="37" fillId="3" borderId="0" xfId="3" applyFont="1" applyFill="1"/>
    <xf numFmtId="0" fontId="37" fillId="0" borderId="0" xfId="3" applyFont="1"/>
    <xf numFmtId="0" fontId="38" fillId="0" borderId="0" xfId="3" applyFont="1"/>
    <xf numFmtId="0" fontId="37" fillId="6" borderId="0" xfId="3" applyFont="1" applyFill="1" applyBorder="1"/>
    <xf numFmtId="0" fontId="39" fillId="4" borderId="9" xfId="3" applyFont="1" applyFill="1" applyBorder="1" applyAlignment="1">
      <alignment horizontal="center" vertical="center" wrapText="1"/>
    </xf>
    <xf numFmtId="0" fontId="20" fillId="0" borderId="0" xfId="3" applyFont="1"/>
    <xf numFmtId="0" fontId="39" fillId="4" borderId="9" xfId="0" applyFont="1" applyFill="1" applyBorder="1" applyAlignment="1">
      <alignment horizontal="center" vertical="center" wrapText="1"/>
    </xf>
    <xf numFmtId="3" fontId="20" fillId="5" borderId="0" xfId="0" applyNumberFormat="1" applyFont="1" applyFill="1" applyBorder="1" applyAlignment="1">
      <alignment vertical="center"/>
    </xf>
    <xf numFmtId="0" fontId="39" fillId="4" borderId="6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39" fillId="4" borderId="6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vertical="center"/>
    </xf>
    <xf numFmtId="0" fontId="40" fillId="0" borderId="0" xfId="0" applyFont="1"/>
    <xf numFmtId="3" fontId="17" fillId="6" borderId="0" xfId="0" applyNumberFormat="1" applyFont="1" applyFill="1" applyBorder="1" applyAlignment="1">
      <alignment vertical="center"/>
    </xf>
    <xf numFmtId="3" fontId="19" fillId="6" borderId="7" xfId="0" applyNumberFormat="1" applyFont="1" applyFill="1" applyBorder="1" applyAlignment="1">
      <alignment vertical="center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5" fillId="4" borderId="6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Fill="1"/>
    <xf numFmtId="0" fontId="42" fillId="0" borderId="0" xfId="0" applyFont="1" applyFill="1"/>
    <xf numFmtId="0" fontId="5" fillId="0" borderId="0" xfId="0" applyFont="1" applyBorder="1" applyAlignment="1">
      <alignment vertical="center"/>
    </xf>
    <xf numFmtId="3" fontId="17" fillId="6" borderId="0" xfId="3" applyNumberFormat="1" applyFont="1" applyFill="1" applyBorder="1" applyAlignment="1">
      <alignment vertical="center"/>
    </xf>
    <xf numFmtId="3" fontId="14" fillId="6" borderId="0" xfId="0" applyNumberFormat="1" applyFont="1" applyFill="1" applyBorder="1" applyAlignment="1">
      <alignment vertical="center"/>
    </xf>
    <xf numFmtId="3" fontId="17" fillId="0" borderId="0" xfId="3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0" fontId="12" fillId="3" borderId="0" xfId="3" applyFont="1" applyFill="1" applyBorder="1" applyAlignment="1">
      <alignment horizontal="right" vertical="center"/>
    </xf>
    <xf numFmtId="1" fontId="24" fillId="3" borderId="0" xfId="3" applyNumberFormat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vertical="center"/>
    </xf>
    <xf numFmtId="168" fontId="20" fillId="0" borderId="0" xfId="0" applyNumberFormat="1" applyFont="1" applyFill="1" applyBorder="1" applyAlignment="1">
      <alignment vertical="center"/>
    </xf>
    <xf numFmtId="168" fontId="17" fillId="6" borderId="0" xfId="3" applyNumberFormat="1" applyFont="1" applyFill="1" applyBorder="1" applyAlignment="1">
      <alignment vertical="center"/>
    </xf>
    <xf numFmtId="168" fontId="14" fillId="6" borderId="0" xfId="0" applyNumberFormat="1" applyFont="1" applyFill="1" applyBorder="1" applyAlignment="1">
      <alignment vertical="center"/>
    </xf>
    <xf numFmtId="168" fontId="17" fillId="0" borderId="0" xfId="3" applyNumberFormat="1" applyFont="1" applyFill="1" applyBorder="1" applyAlignment="1">
      <alignment vertical="center"/>
    </xf>
    <xf numFmtId="3" fontId="8" fillId="6" borderId="0" xfId="1" applyNumberFormat="1" applyFont="1" applyFill="1" applyBorder="1" applyAlignment="1" applyProtection="1">
      <alignment horizontal="center" vertical="center"/>
      <protection locked="0"/>
    </xf>
    <xf numFmtId="0" fontId="20" fillId="6" borderId="7" xfId="3" applyFont="1" applyFill="1" applyBorder="1" applyAlignment="1">
      <alignment horizontal="left" vertical="center"/>
    </xf>
    <xf numFmtId="0" fontId="14" fillId="6" borderId="7" xfId="3" applyFont="1" applyFill="1" applyBorder="1" applyAlignment="1">
      <alignment horizontal="center" vertical="center"/>
    </xf>
    <xf numFmtId="3" fontId="20" fillId="6" borderId="7" xfId="3" applyNumberFormat="1" applyFont="1" applyFill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" fillId="6" borderId="0" xfId="0" applyFont="1" applyFill="1" applyBorder="1"/>
    <xf numFmtId="0" fontId="29" fillId="0" borderId="0" xfId="0" applyFont="1" applyAlignment="1">
      <alignment horizontal="left" vertical="center"/>
    </xf>
    <xf numFmtId="0" fontId="46" fillId="6" borderId="0" xfId="3" applyFont="1" applyFill="1" applyBorder="1" applyAlignment="1">
      <alignment horizontal="left" vertical="center"/>
    </xf>
    <xf numFmtId="0" fontId="47" fillId="6" borderId="0" xfId="3" applyFont="1" applyFill="1" applyBorder="1" applyAlignment="1">
      <alignment horizontal="center" vertical="center"/>
    </xf>
    <xf numFmtId="4" fontId="46" fillId="6" borderId="0" xfId="3" applyNumberFormat="1" applyFont="1" applyFill="1" applyBorder="1" applyAlignment="1">
      <alignment vertical="center"/>
    </xf>
    <xf numFmtId="4" fontId="48" fillId="6" borderId="0" xfId="0" applyNumberFormat="1" applyFont="1" applyFill="1" applyBorder="1" applyAlignment="1">
      <alignment vertical="center"/>
    </xf>
    <xf numFmtId="0" fontId="47" fillId="6" borderId="0" xfId="3" applyFont="1" applyFill="1"/>
    <xf numFmtId="0" fontId="43" fillId="6" borderId="0" xfId="0" applyFont="1" applyFill="1" applyBorder="1" applyAlignment="1">
      <alignment horizontal="left" wrapText="1"/>
    </xf>
    <xf numFmtId="9" fontId="10" fillId="0" borderId="0" xfId="2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9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7" fillId="0" borderId="0" xfId="3" applyFont="1" applyBorder="1" applyAlignment="1">
      <alignment horizontal="center" vertical="center"/>
    </xf>
    <xf numFmtId="0" fontId="47" fillId="0" borderId="0" xfId="3" applyFont="1" applyBorder="1" applyAlignment="1">
      <alignment vertical="center"/>
    </xf>
    <xf numFmtId="0" fontId="47" fillId="0" borderId="0" xfId="3" applyFont="1"/>
    <xf numFmtId="0" fontId="47" fillId="0" borderId="0" xfId="3" applyFont="1" applyFill="1" applyBorder="1" applyAlignment="1">
      <alignment vertical="center"/>
    </xf>
    <xf numFmtId="3" fontId="47" fillId="0" borderId="0" xfId="3" applyNumberFormat="1" applyFont="1" applyBorder="1" applyAlignment="1">
      <alignment vertical="center"/>
    </xf>
    <xf numFmtId="14" fontId="0" fillId="0" borderId="0" xfId="0" applyNumberFormat="1"/>
    <xf numFmtId="0" fontId="29" fillId="2" borderId="1" xfId="0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vertical="center" wrapText="1"/>
    </xf>
    <xf numFmtId="0" fontId="0" fillId="6" borderId="0" xfId="0" applyFill="1"/>
    <xf numFmtId="0" fontId="36" fillId="6" borderId="0" xfId="0" applyFont="1" applyFill="1"/>
    <xf numFmtId="0" fontId="29" fillId="0" borderId="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33" fillId="0" borderId="0" xfId="0" applyFont="1" applyBorder="1"/>
    <xf numFmtId="0" fontId="31" fillId="6" borderId="0" xfId="0" applyFont="1" applyFill="1" applyAlignment="1">
      <alignment vertical="center"/>
    </xf>
    <xf numFmtId="0" fontId="31" fillId="6" borderId="0" xfId="0" applyNumberFormat="1" applyFont="1" applyFill="1" applyAlignment="1">
      <alignment horizontal="left" vertical="center"/>
    </xf>
    <xf numFmtId="9" fontId="20" fillId="6" borderId="0" xfId="3" applyNumberFormat="1" applyFont="1" applyFill="1" applyBorder="1" applyAlignment="1">
      <alignment horizontal="center" vertical="center"/>
    </xf>
    <xf numFmtId="0" fontId="11" fillId="6" borderId="0" xfId="3" applyFont="1" applyFill="1"/>
    <xf numFmtId="9" fontId="14" fillId="6" borderId="0" xfId="2" applyFont="1" applyFill="1" applyBorder="1" applyAlignment="1">
      <alignment vertical="center"/>
    </xf>
    <xf numFmtId="166" fontId="14" fillId="6" borderId="0" xfId="0" applyNumberFormat="1" applyFont="1" applyFill="1" applyBorder="1" applyAlignment="1">
      <alignment horizontal="left" vertical="center"/>
    </xf>
    <xf numFmtId="9" fontId="14" fillId="6" borderId="0" xfId="2" applyFont="1" applyFill="1" applyBorder="1" applyAlignment="1">
      <alignment horizontal="center" vertical="center"/>
    </xf>
    <xf numFmtId="168" fontId="52" fillId="6" borderId="0" xfId="0" applyNumberFormat="1" applyFont="1" applyFill="1"/>
    <xf numFmtId="166" fontId="20" fillId="6" borderId="0" xfId="0" applyNumberFormat="1" applyFont="1" applyFill="1" applyBorder="1" applyAlignment="1">
      <alignment vertical="center"/>
    </xf>
    <xf numFmtId="166" fontId="17" fillId="6" borderId="0" xfId="0" applyNumberFormat="1" applyFont="1" applyFill="1" applyBorder="1" applyAlignment="1">
      <alignment vertical="center"/>
    </xf>
    <xf numFmtId="166" fontId="14" fillId="6" borderId="0" xfId="0" applyNumberFormat="1" applyFont="1" applyFill="1"/>
    <xf numFmtId="9" fontId="9" fillId="6" borderId="0" xfId="2" applyFont="1" applyFill="1" applyBorder="1" applyAlignment="1">
      <alignment horizontal="left" vertical="center" wrapText="1"/>
    </xf>
    <xf numFmtId="4" fontId="8" fillId="2" borderId="1" xfId="2" applyNumberFormat="1" applyFont="1" applyFill="1" applyBorder="1" applyAlignment="1" applyProtection="1">
      <alignment horizontal="center" vertical="center"/>
      <protection locked="0"/>
    </xf>
    <xf numFmtId="0" fontId="14" fillId="5" borderId="0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horizontal="left"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0" fontId="0" fillId="0" borderId="5" xfId="0" applyBorder="1" applyAlignment="1">
      <alignment vertical="center"/>
    </xf>
    <xf numFmtId="0" fontId="14" fillId="6" borderId="0" xfId="0" applyFont="1" applyFill="1" applyBorder="1" applyAlignment="1">
      <alignment horizontal="left" vertical="center"/>
    </xf>
    <xf numFmtId="0" fontId="20" fillId="6" borderId="0" xfId="0" applyFont="1" applyFill="1" applyBorder="1" applyAlignment="1">
      <alignment horizontal="right"/>
    </xf>
    <xf numFmtId="0" fontId="20" fillId="6" borderId="0" xfId="0" applyFont="1" applyFill="1" applyAlignment="1">
      <alignment horizontal="right"/>
    </xf>
    <xf numFmtId="3" fontId="14" fillId="6" borderId="0" xfId="0" applyNumberFormat="1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left" vertical="center" wrapText="1"/>
    </xf>
    <xf numFmtId="0" fontId="25" fillId="6" borderId="0" xfId="0" applyFont="1" applyFill="1" applyBorder="1" applyAlignment="1">
      <alignment horizontal="left" vertical="center"/>
    </xf>
    <xf numFmtId="0" fontId="56" fillId="0" borderId="0" xfId="0" applyFont="1"/>
    <xf numFmtId="3" fontId="56" fillId="0" borderId="0" xfId="0" applyNumberFormat="1" applyFont="1" applyBorder="1" applyAlignment="1">
      <alignment vertical="center"/>
    </xf>
    <xf numFmtId="168" fontId="57" fillId="0" borderId="0" xfId="0" applyNumberFormat="1" applyFont="1" applyFill="1" applyBorder="1" applyAlignment="1">
      <alignment vertical="center"/>
    </xf>
    <xf numFmtId="0" fontId="58" fillId="0" borderId="0" xfId="0" applyFont="1"/>
    <xf numFmtId="0" fontId="59" fillId="0" borderId="0" xfId="0" applyFont="1"/>
    <xf numFmtId="9" fontId="8" fillId="6" borderId="0" xfId="2" applyFont="1" applyFill="1" applyBorder="1" applyAlignment="1">
      <alignment horizontal="left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3" fontId="53" fillId="0" borderId="0" xfId="0" applyNumberFormat="1" applyFont="1"/>
    <xf numFmtId="9" fontId="53" fillId="0" borderId="0" xfId="0" applyNumberFormat="1" applyFont="1"/>
    <xf numFmtId="0" fontId="53" fillId="0" borderId="0" xfId="0" applyFont="1"/>
    <xf numFmtId="0" fontId="4" fillId="0" borderId="1" xfId="0" applyFont="1" applyBorder="1" applyAlignment="1" applyProtection="1">
      <alignment horizontal="center" vertical="center" wrapText="1"/>
    </xf>
    <xf numFmtId="0" fontId="14" fillId="6" borderId="0" xfId="3" applyFont="1" applyFill="1" applyBorder="1" applyAlignment="1" applyProtection="1">
      <alignment horizontal="left" vertical="center"/>
    </xf>
    <xf numFmtId="0" fontId="14" fillId="6" borderId="0" xfId="3" applyFont="1" applyFill="1" applyBorder="1" applyAlignment="1" applyProtection="1">
      <alignment horizontal="center" vertical="center"/>
    </xf>
    <xf numFmtId="9" fontId="14" fillId="6" borderId="0" xfId="3" applyNumberFormat="1" applyFont="1" applyFill="1" applyBorder="1" applyAlignment="1" applyProtection="1">
      <alignment horizontal="center" vertical="center"/>
    </xf>
    <xf numFmtId="9" fontId="20" fillId="6" borderId="0" xfId="3" applyNumberFormat="1" applyFont="1" applyFill="1" applyBorder="1" applyAlignment="1" applyProtection="1">
      <alignment horizontal="center" vertical="center"/>
    </xf>
    <xf numFmtId="0" fontId="14" fillId="6" borderId="0" xfId="3" applyFont="1" applyFill="1" applyProtection="1"/>
    <xf numFmtId="0" fontId="14" fillId="0" borderId="0" xfId="3" applyFont="1" applyProtection="1"/>
    <xf numFmtId="0" fontId="11" fillId="6" borderId="0" xfId="3" applyFont="1" applyFill="1" applyProtection="1"/>
    <xf numFmtId="0" fontId="0" fillId="0" borderId="0" xfId="0" applyBorder="1" applyAlignment="1">
      <alignment vertical="center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3" fontId="10" fillId="6" borderId="0" xfId="1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/>
    <xf numFmtId="0" fontId="4" fillId="0" borderId="7" xfId="0" applyFont="1" applyBorder="1" applyAlignment="1">
      <alignment vertical="center" wrapText="1"/>
    </xf>
    <xf numFmtId="3" fontId="10" fillId="0" borderId="0" xfId="1" applyNumberFormat="1" applyFont="1" applyBorder="1" applyAlignment="1">
      <alignment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10" fontId="8" fillId="2" borderId="14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 wrapText="1"/>
    </xf>
    <xf numFmtId="10" fontId="8" fillId="2" borderId="16" xfId="2" applyNumberFormat="1" applyFont="1" applyFill="1" applyBorder="1" applyAlignment="1" applyProtection="1">
      <alignment horizontal="center" vertical="center"/>
      <protection locked="0"/>
    </xf>
    <xf numFmtId="10" fontId="8" fillId="2" borderId="17" xfId="2" applyNumberFormat="1" applyFont="1" applyFill="1" applyBorder="1" applyAlignment="1" applyProtection="1">
      <alignment horizontal="center" vertical="center"/>
      <protection locked="0"/>
    </xf>
    <xf numFmtId="166" fontId="49" fillId="0" borderId="1" xfId="0" applyNumberFormat="1" applyFont="1" applyBorder="1" applyAlignment="1">
      <alignment horizontal="center" vertical="center" wrapText="1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Border="1" applyAlignment="1">
      <alignment horizontal="center" vertical="center" wrapText="1"/>
    </xf>
    <xf numFmtId="3" fontId="8" fillId="2" borderId="13" xfId="1" applyNumberFormat="1" applyFont="1" applyFill="1" applyBorder="1" applyAlignment="1">
      <alignment horizontal="center" vertical="center"/>
    </xf>
    <xf numFmtId="3" fontId="30" fillId="6" borderId="15" xfId="1" applyNumberFormat="1" applyFont="1" applyFill="1" applyBorder="1" applyAlignment="1">
      <alignment horizontal="center" vertical="center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167" fontId="8" fillId="6" borderId="1" xfId="2" applyNumberFormat="1" applyFont="1" applyFill="1" applyBorder="1" applyAlignment="1" applyProtection="1">
      <alignment horizontal="center" vertical="center"/>
      <protection locked="0"/>
    </xf>
    <xf numFmtId="167" fontId="8" fillId="6" borderId="0" xfId="2" applyNumberFormat="1" applyFont="1" applyFill="1" applyBorder="1" applyAlignment="1" applyProtection="1">
      <alignment horizontal="center" vertical="center"/>
      <protection locked="0"/>
    </xf>
    <xf numFmtId="9" fontId="8" fillId="2" borderId="1" xfId="2" applyFont="1" applyFill="1" applyBorder="1" applyAlignment="1" applyProtection="1">
      <alignment horizontal="center" vertical="center"/>
      <protection locked="0"/>
    </xf>
    <xf numFmtId="10" fontId="51" fillId="6" borderId="1" xfId="2" applyNumberFormat="1" applyFont="1" applyFill="1" applyBorder="1" applyAlignment="1" applyProtection="1">
      <alignment horizontal="center" vertical="center"/>
      <protection locked="0"/>
    </xf>
    <xf numFmtId="4" fontId="8" fillId="6" borderId="1" xfId="2" applyNumberFormat="1" applyFont="1" applyFill="1" applyBorder="1" applyAlignment="1" applyProtection="1">
      <alignment horizontal="center" vertical="center"/>
      <protection locked="0"/>
    </xf>
    <xf numFmtId="9" fontId="8" fillId="6" borderId="1" xfId="2" applyFont="1" applyFill="1" applyBorder="1" applyAlignment="1" applyProtection="1">
      <alignment horizontal="center" vertical="center"/>
      <protection locked="0"/>
    </xf>
    <xf numFmtId="3" fontId="8" fillId="6" borderId="2" xfId="1" applyNumberFormat="1" applyFont="1" applyFill="1" applyBorder="1" applyAlignment="1">
      <alignment horizontal="center" vertical="center"/>
    </xf>
    <xf numFmtId="3" fontId="30" fillId="6" borderId="18" xfId="1" applyNumberFormat="1" applyFont="1" applyFill="1" applyBorder="1" applyAlignment="1">
      <alignment horizontal="center" vertical="center"/>
    </xf>
    <xf numFmtId="3" fontId="8" fillId="2" borderId="4" xfId="1" applyNumberFormat="1" applyFont="1" applyFill="1" applyBorder="1" applyAlignment="1">
      <alignment horizontal="center" vertical="center"/>
    </xf>
    <xf numFmtId="3" fontId="30" fillId="6" borderId="19" xfId="1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53" fillId="0" borderId="0" xfId="0" applyNumberFormat="1" applyFont="1" applyAlignment="1">
      <alignment horizontal="right"/>
    </xf>
    <xf numFmtId="3" fontId="8" fillId="6" borderId="2" xfId="1" applyNumberFormat="1" applyFont="1" applyFill="1" applyBorder="1" applyAlignment="1" applyProtection="1">
      <alignment horizontal="center" vertical="center"/>
      <protection locked="0"/>
    </xf>
    <xf numFmtId="3" fontId="8" fillId="6" borderId="4" xfId="1" applyNumberFormat="1" applyFont="1" applyFill="1" applyBorder="1" applyAlignment="1" applyProtection="1">
      <alignment horizontal="center" vertical="center"/>
      <protection locked="0"/>
    </xf>
    <xf numFmtId="167" fontId="8" fillId="6" borderId="2" xfId="2" applyNumberFormat="1" applyFont="1" applyFill="1" applyBorder="1" applyAlignment="1" applyProtection="1">
      <alignment horizontal="center" vertical="center"/>
      <protection locked="0"/>
    </xf>
    <xf numFmtId="167" fontId="8" fillId="6" borderId="4" xfId="2" applyNumberFormat="1" applyFont="1" applyFill="1" applyBorder="1" applyAlignment="1" applyProtection="1">
      <alignment horizontal="center" vertical="center"/>
      <protection locked="0"/>
    </xf>
    <xf numFmtId="166" fontId="49" fillId="0" borderId="2" xfId="0" applyNumberFormat="1" applyFont="1" applyBorder="1" applyAlignment="1">
      <alignment horizontal="center" vertical="center" wrapText="1"/>
    </xf>
    <xf numFmtId="166" fontId="49" fillId="0" borderId="4" xfId="0" applyNumberFormat="1" applyFont="1" applyBorder="1" applyAlignment="1">
      <alignment horizontal="center" vertical="center" wrapText="1"/>
    </xf>
    <xf numFmtId="9" fontId="9" fillId="0" borderId="0" xfId="2" applyFont="1" applyBorder="1" applyAlignment="1">
      <alignment horizontal="left" vertical="center" wrapText="1"/>
    </xf>
    <xf numFmtId="9" fontId="9" fillId="0" borderId="8" xfId="2" applyFont="1" applyBorder="1" applyAlignment="1">
      <alignment horizontal="left" vertical="center" wrapText="1"/>
    </xf>
    <xf numFmtId="3" fontId="51" fillId="6" borderId="2" xfId="1" applyNumberFormat="1" applyFont="1" applyFill="1" applyBorder="1" applyAlignment="1" applyProtection="1">
      <alignment horizontal="center" vertical="center"/>
      <protection locked="0"/>
    </xf>
    <xf numFmtId="3" fontId="51" fillId="6" borderId="4" xfId="1" applyNumberFormat="1" applyFont="1" applyFill="1" applyBorder="1" applyAlignment="1" applyProtection="1">
      <alignment horizontal="center" vertical="center"/>
      <protection locked="0"/>
    </xf>
    <xf numFmtId="10" fontId="51" fillId="6" borderId="1" xfId="2" applyNumberFormat="1" applyFont="1" applyFill="1" applyBorder="1" applyAlignment="1" applyProtection="1">
      <alignment horizontal="center" vertical="center"/>
      <protection locked="0"/>
    </xf>
    <xf numFmtId="9" fontId="50" fillId="2" borderId="1" xfId="2" applyFont="1" applyFill="1" applyBorder="1" applyAlignment="1" applyProtection="1">
      <alignment vertical="center" wrapText="1"/>
      <protection locked="0"/>
    </xf>
    <xf numFmtId="0" fontId="62" fillId="0" borderId="2" xfId="0" applyNumberFormat="1" applyFont="1" applyBorder="1" applyAlignment="1">
      <alignment horizontal="center" vertical="center" wrapText="1"/>
    </xf>
    <xf numFmtId="0" fontId="62" fillId="0" borderId="4" xfId="0" applyNumberFormat="1" applyFont="1" applyBorder="1" applyAlignment="1">
      <alignment horizontal="center" vertical="center" wrapText="1"/>
    </xf>
    <xf numFmtId="0" fontId="62" fillId="0" borderId="3" xfId="0" applyNumberFormat="1" applyFont="1" applyBorder="1" applyAlignment="1">
      <alignment horizontal="center" vertical="center" wrapText="1"/>
    </xf>
    <xf numFmtId="165" fontId="8" fillId="6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4" fontId="8" fillId="6" borderId="2" xfId="2" applyNumberFormat="1" applyFont="1" applyFill="1" applyBorder="1" applyAlignment="1" applyProtection="1">
      <alignment horizontal="center" vertical="center"/>
      <protection locked="0"/>
    </xf>
    <xf numFmtId="4" fontId="8" fillId="6" borderId="4" xfId="2" applyNumberFormat="1" applyFont="1" applyFill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2" fillId="6" borderId="13" xfId="2" applyNumberFormat="1" applyFont="1" applyFill="1" applyBorder="1" applyAlignment="1">
      <alignment horizontal="center" vertical="center" wrapText="1"/>
    </xf>
    <xf numFmtId="0" fontId="32" fillId="6" borderId="1" xfId="2" applyNumberFormat="1" applyFont="1" applyFill="1" applyBorder="1" applyAlignment="1">
      <alignment horizontal="center" vertical="center" wrapText="1"/>
    </xf>
    <xf numFmtId="0" fontId="32" fillId="6" borderId="15" xfId="2" applyNumberFormat="1" applyFont="1" applyFill="1" applyBorder="1" applyAlignment="1">
      <alignment horizontal="center" vertical="center" wrapText="1"/>
    </xf>
    <xf numFmtId="0" fontId="32" fillId="6" borderId="16" xfId="2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165" fontId="9" fillId="2" borderId="1" xfId="2" applyNumberFormat="1" applyFont="1" applyFill="1" applyBorder="1" applyAlignment="1" applyProtection="1">
      <alignment horizontal="left" vertical="center" wrapText="1"/>
      <protection locked="0"/>
    </xf>
    <xf numFmtId="4" fontId="8" fillId="2" borderId="2" xfId="2" applyNumberFormat="1" applyFont="1" applyFill="1" applyBorder="1" applyAlignment="1" applyProtection="1">
      <alignment horizontal="center" vertical="center"/>
      <protection locked="0"/>
    </xf>
    <xf numFmtId="4" fontId="8" fillId="2" borderId="4" xfId="2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0" fontId="60" fillId="6" borderId="5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 wrapText="1"/>
    </xf>
    <xf numFmtId="9" fontId="9" fillId="6" borderId="8" xfId="2" applyFont="1" applyFill="1" applyBorder="1" applyAlignment="1">
      <alignment horizontal="left" vertical="center" wrapText="1"/>
    </xf>
    <xf numFmtId="0" fontId="43" fillId="6" borderId="3" xfId="0" applyFont="1" applyFill="1" applyBorder="1" applyAlignment="1">
      <alignment horizontal="left" wrapText="1"/>
    </xf>
    <xf numFmtId="0" fontId="49" fillId="0" borderId="1" xfId="0" applyFont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10" fontId="51" fillId="2" borderId="1" xfId="2" applyNumberFormat="1" applyFont="1" applyFill="1" applyBorder="1" applyAlignment="1" applyProtection="1">
      <alignment horizontal="center" vertical="center"/>
      <protection locked="0"/>
    </xf>
    <xf numFmtId="0" fontId="45" fillId="2" borderId="0" xfId="0" applyFont="1" applyFill="1" applyAlignment="1">
      <alignment horizontal="center" vertical="center"/>
    </xf>
    <xf numFmtId="0" fontId="43" fillId="6" borderId="5" xfId="0" applyFont="1" applyFill="1" applyBorder="1" applyAlignment="1">
      <alignment horizontal="left" vertical="center" wrapText="1"/>
    </xf>
    <xf numFmtId="9" fontId="9" fillId="0" borderId="0" xfId="2" applyFont="1" applyBorder="1" applyAlignment="1">
      <alignment vertical="center" wrapText="1"/>
    </xf>
    <xf numFmtId="9" fontId="9" fillId="0" borderId="8" xfId="2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50" fillId="0" borderId="0" xfId="2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 applyBorder="1" applyAlignment="1">
      <alignment horizontal="left" vertical="center" wrapText="1"/>
    </xf>
    <xf numFmtId="0" fontId="43" fillId="6" borderId="1" xfId="0" applyFont="1" applyFill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/>
    </xf>
    <xf numFmtId="9" fontId="9" fillId="6" borderId="8" xfId="2" applyFont="1" applyFill="1" applyBorder="1" applyAlignment="1">
      <alignment horizontal="left" vertical="center"/>
    </xf>
    <xf numFmtId="0" fontId="49" fillId="0" borderId="2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 wrapText="1"/>
    </xf>
    <xf numFmtId="0" fontId="49" fillId="0" borderId="2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3" fontId="8" fillId="6" borderId="1" xfId="1" applyNumberFormat="1" applyFont="1" applyFill="1" applyBorder="1" applyAlignment="1">
      <alignment horizontal="center" vertical="center"/>
    </xf>
    <xf numFmtId="3" fontId="8" fillId="6" borderId="14" xfId="1" applyNumberFormat="1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3" fontId="30" fillId="6" borderId="16" xfId="1" applyNumberFormat="1" applyFont="1" applyFill="1" applyBorder="1" applyAlignment="1">
      <alignment horizontal="center" vertical="center"/>
    </xf>
    <xf numFmtId="3" fontId="30" fillId="6" borderId="17" xfId="1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167" fontId="8" fillId="6" borderId="3" xfId="2" applyNumberFormat="1" applyFont="1" applyFill="1" applyBorder="1" applyAlignment="1" applyProtection="1">
      <alignment horizontal="center" vertical="center"/>
      <protection locked="0"/>
    </xf>
    <xf numFmtId="0" fontId="50" fillId="6" borderId="1" xfId="2" applyNumberFormat="1" applyFont="1" applyFill="1" applyBorder="1" applyAlignment="1" applyProtection="1">
      <alignment horizontal="center" vertical="center" wrapText="1"/>
      <protection locked="0"/>
    </xf>
    <xf numFmtId="167" fontId="8" fillId="6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 applyProtection="1">
      <alignment horizontal="left" vertical="center" wrapText="1"/>
      <protection locked="0"/>
    </xf>
    <xf numFmtId="0" fontId="32" fillId="0" borderId="8" xfId="0" applyFont="1" applyBorder="1" applyAlignment="1">
      <alignment horizontal="left" vertical="center"/>
    </xf>
    <xf numFmtId="0" fontId="43" fillId="6" borderId="5" xfId="0" applyFont="1" applyFill="1" applyBorder="1" applyAlignment="1">
      <alignment horizontal="left" wrapText="1"/>
    </xf>
    <xf numFmtId="0" fontId="2" fillId="0" borderId="5" xfId="0" applyFont="1" applyBorder="1" applyAlignment="1">
      <alignment horizontal="center" vertical="center" wrapText="1"/>
    </xf>
    <xf numFmtId="3" fontId="30" fillId="6" borderId="1" xfId="1" applyNumberFormat="1" applyFont="1" applyFill="1" applyBorder="1" applyAlignment="1">
      <alignment horizontal="center" vertical="center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9" fontId="8" fillId="0" borderId="0" xfId="2" applyFont="1" applyBorder="1" applyAlignment="1">
      <alignment horizontal="center" vertical="center" wrapText="1"/>
    </xf>
    <xf numFmtId="167" fontId="30" fillId="6" borderId="0" xfId="2" applyNumberFormat="1" applyFont="1" applyFill="1" applyBorder="1" applyAlignment="1" applyProtection="1">
      <alignment horizontal="center" vertical="center"/>
      <protection locked="0"/>
    </xf>
    <xf numFmtId="3" fontId="7" fillId="0" borderId="2" xfId="1" applyNumberFormat="1" applyFont="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9" fontId="7" fillId="0" borderId="1" xfId="2" applyFont="1" applyBorder="1" applyAlignment="1">
      <alignment horizontal="center" vertical="center"/>
    </xf>
    <xf numFmtId="3" fontId="7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left" vertical="center"/>
    </xf>
    <xf numFmtId="0" fontId="0" fillId="6" borderId="3" xfId="0" applyFill="1" applyBorder="1" applyAlignment="1">
      <alignment horizontal="left" vertical="center" wrapText="1"/>
    </xf>
    <xf numFmtId="9" fontId="9" fillId="0" borderId="0" xfId="2" applyFont="1" applyBorder="1" applyAlignment="1">
      <alignment horizontal="left" vertical="center"/>
    </xf>
    <xf numFmtId="9" fontId="9" fillId="0" borderId="8" xfId="2" applyFont="1" applyBorder="1" applyAlignment="1">
      <alignment horizontal="left" vertical="center"/>
    </xf>
    <xf numFmtId="3" fontId="7" fillId="6" borderId="1" xfId="1" applyNumberFormat="1" applyFont="1" applyFill="1" applyBorder="1" applyAlignment="1">
      <alignment horizontal="center" vertical="center"/>
    </xf>
    <xf numFmtId="3" fontId="30" fillId="6" borderId="0" xfId="1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/>
    </xf>
    <xf numFmtId="0" fontId="39" fillId="4" borderId="0" xfId="0" applyFont="1" applyFill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0" fontId="35" fillId="6" borderId="2" xfId="3" applyFont="1" applyFill="1" applyBorder="1" applyAlignment="1">
      <alignment horizontal="center" vertical="center" wrapText="1"/>
    </xf>
    <xf numFmtId="0" fontId="35" fillId="6" borderId="3" xfId="3" applyFont="1" applyFill="1" applyBorder="1" applyAlignment="1">
      <alignment horizontal="center" vertical="center" wrapText="1"/>
    </xf>
    <xf numFmtId="0" fontId="35" fillId="6" borderId="4" xfId="3" applyFont="1" applyFill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35" fillId="0" borderId="4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 wrapText="1"/>
    </xf>
    <xf numFmtId="1" fontId="14" fillId="0" borderId="0" xfId="0" applyNumberFormat="1" applyFont="1"/>
  </cellXfs>
  <cellStyles count="6">
    <cellStyle name="Обычный" xfId="0" builtinId="0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4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4" dropStyle="combo" dx="22" fmlaLink="$O$2" fmlaRange="$P$2:$P$5" sel="1" val="0"/>
</file>

<file path=xl/ctrlProps/ctrlProp2.xml><?xml version="1.0" encoding="utf-8"?>
<formControlPr xmlns="http://schemas.microsoft.com/office/spreadsheetml/2009/9/main" objectType="Drop" dropLines="12" dropStyle="combo" dx="22" fmlaLink="Q$2" fmlaRange="$R$2:$R$13" sel="1" val="0"/>
</file>

<file path=xl/ctrlProps/ctrlProp3.xml><?xml version="1.0" encoding="utf-8"?>
<formControlPr xmlns="http://schemas.microsoft.com/office/spreadsheetml/2009/9/main" objectType="Drop" dropLines="3" dropStyle="combo" dx="22" fmlaLink="$N$1" fmlaRange="$O$1:$O$3" sel="2" val="0"/>
</file>

<file path=xl/ctrlProps/ctrlProp4.xml><?xml version="1.0" encoding="utf-8"?>
<formControlPr xmlns="http://schemas.microsoft.com/office/spreadsheetml/2009/9/main" objectType="Drop" dropLines="2" dropStyle="combo" dx="22" fmlaLink="$P$1" fmlaRange="$Q$1:$Q$2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125</xdr:row>
      <xdr:rowOff>26175</xdr:rowOff>
    </xdr:from>
    <xdr:to>
      <xdr:col>0</xdr:col>
      <xdr:colOff>542100</xdr:colOff>
      <xdr:row>125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122</xdr:row>
      <xdr:rowOff>23700</xdr:rowOff>
    </xdr:from>
    <xdr:to>
      <xdr:col>0</xdr:col>
      <xdr:colOff>592274</xdr:colOff>
      <xdr:row>122</xdr:row>
      <xdr:rowOff>515580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4074325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126</xdr:row>
      <xdr:rowOff>21300</xdr:rowOff>
    </xdr:from>
    <xdr:to>
      <xdr:col>0</xdr:col>
      <xdr:colOff>553875</xdr:colOff>
      <xdr:row>126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109</xdr:row>
      <xdr:rowOff>9525</xdr:rowOff>
    </xdr:from>
    <xdr:to>
      <xdr:col>0</xdr:col>
      <xdr:colOff>551625</xdr:colOff>
      <xdr:row>109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76</xdr:row>
      <xdr:rowOff>28578</xdr:rowOff>
    </xdr:from>
    <xdr:to>
      <xdr:col>0</xdr:col>
      <xdr:colOff>546867</xdr:colOff>
      <xdr:row>76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826770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74</xdr:row>
      <xdr:rowOff>12814</xdr:rowOff>
    </xdr:from>
    <xdr:to>
      <xdr:col>0</xdr:col>
      <xdr:colOff>551622</xdr:colOff>
      <xdr:row>74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75</xdr:row>
      <xdr:rowOff>23815</xdr:rowOff>
    </xdr:from>
    <xdr:to>
      <xdr:col>0</xdr:col>
      <xdr:colOff>554426</xdr:colOff>
      <xdr:row>75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68</xdr:row>
      <xdr:rowOff>0</xdr:rowOff>
    </xdr:from>
    <xdr:to>
      <xdr:col>0</xdr:col>
      <xdr:colOff>551624</xdr:colOff>
      <xdr:row>68</xdr:row>
      <xdr:rowOff>504000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3534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73</xdr:row>
      <xdr:rowOff>90</xdr:rowOff>
    </xdr:from>
    <xdr:to>
      <xdr:col>0</xdr:col>
      <xdr:colOff>551623</xdr:colOff>
      <xdr:row>73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117</xdr:row>
      <xdr:rowOff>19050</xdr:rowOff>
    </xdr:from>
    <xdr:to>
      <xdr:col>0</xdr:col>
      <xdr:colOff>551625</xdr:colOff>
      <xdr:row>117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834390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113</xdr:row>
      <xdr:rowOff>22412</xdr:rowOff>
    </xdr:from>
    <xdr:to>
      <xdr:col>0</xdr:col>
      <xdr:colOff>548824</xdr:colOff>
      <xdr:row>113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71</xdr:row>
      <xdr:rowOff>501742</xdr:rowOff>
    </xdr:from>
    <xdr:to>
      <xdr:col>0</xdr:col>
      <xdr:colOff>560030</xdr:colOff>
      <xdr:row>72</xdr:row>
      <xdr:rowOff>472903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112</xdr:row>
      <xdr:rowOff>0</xdr:rowOff>
    </xdr:from>
    <xdr:to>
      <xdr:col>0</xdr:col>
      <xdr:colOff>551630</xdr:colOff>
      <xdr:row>112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115</xdr:row>
      <xdr:rowOff>9526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2529840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47630</xdr:colOff>
      <xdr:row>111</xdr:row>
      <xdr:rowOff>4763</xdr:rowOff>
    </xdr:from>
    <xdr:to>
      <xdr:col>0</xdr:col>
      <xdr:colOff>551630</xdr:colOff>
      <xdr:row>111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116</xdr:row>
      <xdr:rowOff>0</xdr:rowOff>
    </xdr:from>
    <xdr:to>
      <xdr:col>0</xdr:col>
      <xdr:colOff>556393</xdr:colOff>
      <xdr:row>116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69</xdr:row>
      <xdr:rowOff>21775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93" y="2533106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108</xdr:row>
      <xdr:rowOff>0</xdr:rowOff>
    </xdr:from>
    <xdr:ext cx="479937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8183225"/>
          <a:ext cx="479937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38104</xdr:colOff>
      <xdr:row>119</xdr:row>
      <xdr:rowOff>9526</xdr:rowOff>
    </xdr:from>
    <xdr:to>
      <xdr:col>0</xdr:col>
      <xdr:colOff>542104</xdr:colOff>
      <xdr:row>119</xdr:row>
      <xdr:rowOff>513526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4" y="2313146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71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38101</xdr:colOff>
      <xdr:row>118</xdr:row>
      <xdr:rowOff>0</xdr:rowOff>
    </xdr:from>
    <xdr:to>
      <xdr:col>0</xdr:col>
      <xdr:colOff>542101</xdr:colOff>
      <xdr:row>118</xdr:row>
      <xdr:rowOff>504000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77791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120</xdr:row>
      <xdr:rowOff>317500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11395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110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63601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124</xdr:row>
      <xdr:rowOff>23700</xdr:rowOff>
    </xdr:from>
    <xdr:ext cx="540000" cy="4918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63389443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70</xdr:row>
      <xdr:rowOff>0</xdr:rowOff>
    </xdr:from>
    <xdr:to>
      <xdr:col>0</xdr:col>
      <xdr:colOff>535750</xdr:colOff>
      <xdr:row>70</xdr:row>
      <xdr:rowOff>499516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03276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114</xdr:row>
      <xdr:rowOff>6350</xdr:rowOff>
    </xdr:from>
    <xdr:to>
      <xdr:col>0</xdr:col>
      <xdr:colOff>562160</xdr:colOff>
      <xdr:row>114</xdr:row>
      <xdr:rowOff>510350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53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52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54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40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25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23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24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17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22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48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44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20</xdr:row>
      <xdr:rowOff>501742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43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46</xdr:row>
      <xdr:rowOff>9526</xdr:rowOff>
    </xdr:from>
    <xdr:ext cx="504000" cy="50400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1646872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42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47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39</xdr:row>
      <xdr:rowOff>0</xdr:rowOff>
    </xdr:from>
    <xdr:ext cx="479937" cy="504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517904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50</xdr:row>
      <xdr:rowOff>9526</xdr:rowOff>
    </xdr:from>
    <xdr:ext cx="504000" cy="504000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4" y="1701736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20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213360</xdr:colOff>
          <xdr:row>3</xdr:row>
          <xdr:rowOff>30480</xdr:rowOff>
        </xdr:from>
        <xdr:to>
          <xdr:col>3</xdr:col>
          <xdr:colOff>1146810</xdr:colOff>
          <xdr:row>3</xdr:row>
          <xdr:rowOff>346710</xdr:rowOff>
        </xdr:to>
        <xdr:sp macro="" textlink="">
          <xdr:nvSpPr>
            <xdr:cNvPr id="6149" name="Drop Down 1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57836</xdr:colOff>
      <xdr:row>18</xdr:row>
      <xdr:rowOff>4768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836" y="1399835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49</xdr:row>
      <xdr:rowOff>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5242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51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87992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19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45</xdr:row>
      <xdr:rowOff>5443</xdr:rowOff>
    </xdr:from>
    <xdr:to>
      <xdr:col>0</xdr:col>
      <xdr:colOff>544018</xdr:colOff>
      <xdr:row>45</xdr:row>
      <xdr:rowOff>509443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43544</xdr:colOff>
      <xdr:row>37</xdr:row>
      <xdr:rowOff>0</xdr:rowOff>
    </xdr:from>
    <xdr:ext cx="504000" cy="50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15136586"/>
          <a:ext cx="504000" cy="50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3</xdr:row>
          <xdr:rowOff>3810</xdr:rowOff>
        </xdr:from>
        <xdr:to>
          <xdr:col>9</xdr:col>
          <xdr:colOff>792480</xdr:colOff>
          <xdr:row>3</xdr:row>
          <xdr:rowOff>320040</xdr:rowOff>
        </xdr:to>
        <xdr:sp macro="" textlink="">
          <xdr:nvSpPr>
            <xdr:cNvPr id="6150" name="Drop Down 1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48987</xdr:colOff>
      <xdr:row>38</xdr:row>
      <xdr:rowOff>0</xdr:rowOff>
    </xdr:from>
    <xdr:ext cx="479937" cy="504000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7" y="17825357"/>
          <a:ext cx="479937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28"/>
  <sheetViews>
    <sheetView showGridLines="0" topLeftCell="A103" zoomScale="60" zoomScaleNormal="60" workbookViewId="0">
      <selection activeCell="I112" sqref="I112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9.578125" customWidth="1"/>
    <col min="4" max="4" width="21.20703125" customWidth="1"/>
    <col min="5" max="5" width="23.47265625" customWidth="1"/>
    <col min="6" max="6" width="21.20703125" customWidth="1"/>
    <col min="7" max="7" width="23.47265625" customWidth="1"/>
    <col min="8" max="8" width="21.20703125" customWidth="1"/>
    <col min="9" max="9" width="23.47265625" customWidth="1"/>
    <col min="10" max="10" width="21.20703125" customWidth="1"/>
    <col min="11" max="11" width="23.47265625" customWidth="1"/>
    <col min="12" max="12" width="11.83984375" customWidth="1"/>
    <col min="13" max="14" width="9.15625" customWidth="1"/>
    <col min="15" max="15" width="1.68359375" hidden="1" customWidth="1"/>
    <col min="16" max="16" width="4.26171875" hidden="1" customWidth="1"/>
    <col min="17" max="17" width="1.68359375" hidden="1" customWidth="1"/>
    <col min="18" max="18" width="8.15625" hidden="1" customWidth="1"/>
    <col min="19" max="24" width="8.83984375" customWidth="1"/>
  </cols>
  <sheetData>
    <row r="1" spans="1:27" ht="34.200000000000003" customHeight="1" x14ac:dyDescent="0.55000000000000004">
      <c r="A1" s="302" t="s">
        <v>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80"/>
    </row>
    <row r="2" spans="1:27" ht="72.599999999999994" customHeight="1" x14ac:dyDescent="0.55000000000000004">
      <c r="A2" s="306" t="s">
        <v>133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148"/>
      <c r="O2" s="76">
        <v>1</v>
      </c>
      <c r="P2" s="82" t="s">
        <v>60</v>
      </c>
      <c r="Q2" s="94">
        <v>1</v>
      </c>
      <c r="R2" s="94" t="s">
        <v>24</v>
      </c>
      <c r="T2" s="94"/>
      <c r="U2" s="94"/>
    </row>
    <row r="3" spans="1:27" ht="34.200000000000003" customHeight="1" x14ac:dyDescent="0.55000000000000004">
      <c r="A3" s="75" t="s">
        <v>49</v>
      </c>
      <c r="B3" s="81"/>
      <c r="K3" s="73"/>
      <c r="L3" s="161"/>
      <c r="M3" s="74"/>
      <c r="O3" s="82"/>
      <c r="P3" s="82" t="str">
        <f>E5</f>
        <v>USD</v>
      </c>
      <c r="Q3" s="94"/>
      <c r="R3" s="94" t="s">
        <v>25</v>
      </c>
      <c r="T3" s="94"/>
      <c r="U3" s="94"/>
    </row>
    <row r="4" spans="1:27" ht="34.200000000000003" customHeight="1" x14ac:dyDescent="0.55000000000000004">
      <c r="A4" s="140" t="s">
        <v>23</v>
      </c>
      <c r="B4" s="81"/>
      <c r="I4" s="138"/>
      <c r="K4" s="73"/>
      <c r="L4" s="73"/>
      <c r="M4" s="74"/>
      <c r="O4" s="82"/>
      <c r="P4" s="82" t="str">
        <f>G5</f>
        <v>EUR</v>
      </c>
      <c r="Q4" s="94"/>
      <c r="R4" s="94" t="s">
        <v>52</v>
      </c>
    </row>
    <row r="5" spans="1:27" ht="46.5" customHeight="1" x14ac:dyDescent="0.55000000000000004">
      <c r="A5" s="309" t="s">
        <v>122</v>
      </c>
      <c r="B5" s="309"/>
      <c r="C5" s="309"/>
      <c r="D5" s="310"/>
      <c r="E5" s="157" t="s">
        <v>61</v>
      </c>
      <c r="F5" s="158">
        <v>28</v>
      </c>
      <c r="G5" s="311" t="s">
        <v>62</v>
      </c>
      <c r="H5" s="312"/>
      <c r="I5" s="158">
        <v>33</v>
      </c>
      <c r="J5" s="157" t="s">
        <v>63</v>
      </c>
      <c r="K5" s="158">
        <v>0.41689999999999999</v>
      </c>
      <c r="L5" s="73"/>
      <c r="M5" s="74"/>
      <c r="O5" s="82"/>
      <c r="P5" s="82" t="str">
        <f>J5</f>
        <v>RUB</v>
      </c>
      <c r="Q5" s="94"/>
      <c r="R5" s="94" t="s">
        <v>53</v>
      </c>
    </row>
    <row r="6" spans="1:27" ht="17.7" customHeight="1" x14ac:dyDescent="0.55000000000000004">
      <c r="A6" s="77"/>
      <c r="P6" s="82"/>
      <c r="Q6" s="94"/>
      <c r="R6" s="94" t="s">
        <v>54</v>
      </c>
    </row>
    <row r="7" spans="1:27" ht="46.5" customHeight="1" x14ac:dyDescent="0.55000000000000004">
      <c r="A7" s="318" t="s">
        <v>92</v>
      </c>
      <c r="B7" s="318"/>
      <c r="C7" s="318"/>
      <c r="D7" s="313" t="s">
        <v>155</v>
      </c>
      <c r="E7" s="313"/>
      <c r="F7" s="313"/>
      <c r="G7" s="313" t="s">
        <v>156</v>
      </c>
      <c r="H7" s="313"/>
      <c r="I7" s="313" t="s">
        <v>157</v>
      </c>
      <c r="J7" s="313"/>
      <c r="K7" s="313"/>
      <c r="L7" s="73"/>
      <c r="M7" s="74"/>
      <c r="O7" s="82"/>
      <c r="P7" s="82"/>
      <c r="Q7" s="94"/>
      <c r="R7" s="94" t="s">
        <v>76</v>
      </c>
    </row>
    <row r="8" spans="1:27" ht="17.7" customHeight="1" x14ac:dyDescent="0.55000000000000004">
      <c r="A8" s="77"/>
      <c r="P8" s="82"/>
      <c r="Q8" s="94"/>
      <c r="R8" s="94" t="s">
        <v>26</v>
      </c>
    </row>
    <row r="9" spans="1:27" ht="34.200000000000003" customHeight="1" x14ac:dyDescent="0.55000000000000004">
      <c r="A9" s="77" t="s">
        <v>51</v>
      </c>
      <c r="P9" s="82"/>
      <c r="Q9" s="94"/>
      <c r="R9" s="94" t="s">
        <v>27</v>
      </c>
    </row>
    <row r="10" spans="1:27" ht="34.200000000000003" customHeight="1" x14ac:dyDescent="0.7">
      <c r="A10" s="168" t="str">
        <f>D7</f>
        <v>S до 300 м.кв.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85"/>
      <c r="O10" s="84"/>
      <c r="Q10" s="84"/>
      <c r="R10" s="84" t="s">
        <v>28</v>
      </c>
      <c r="S10" s="84"/>
      <c r="T10" s="84"/>
      <c r="U10" s="84"/>
      <c r="V10" s="84"/>
      <c r="W10" s="84"/>
      <c r="X10" s="84"/>
      <c r="Y10" s="84"/>
      <c r="Z10" s="84"/>
      <c r="AA10" s="84"/>
    </row>
    <row r="11" spans="1:27" s="1" customFormat="1" ht="39.299999999999997" customHeight="1" x14ac:dyDescent="0.55000000000000004">
      <c r="A11" s="293" t="s">
        <v>135</v>
      </c>
      <c r="B11" s="293"/>
      <c r="C11" s="283" t="s">
        <v>137</v>
      </c>
      <c r="D11" s="283"/>
      <c r="E11" s="283"/>
      <c r="F11" s="283" t="s">
        <v>138</v>
      </c>
      <c r="G11" s="283" t="s">
        <v>139</v>
      </c>
      <c r="H11" s="283" t="s">
        <v>140</v>
      </c>
      <c r="I11" s="283"/>
      <c r="J11" s="283"/>
      <c r="K11" s="283"/>
      <c r="L11" s="68"/>
      <c r="O11" s="68"/>
      <c r="P11" s="70"/>
      <c r="Q11" s="95"/>
      <c r="R11" s="94" t="s">
        <v>29</v>
      </c>
      <c r="S11" s="71"/>
    </row>
    <row r="12" spans="1:27" s="1" customFormat="1" ht="47.4" customHeight="1" x14ac:dyDescent="0.55000000000000004">
      <c r="A12" s="293"/>
      <c r="B12" s="293"/>
      <c r="C12" s="228" t="str">
        <f>C24</f>
        <v>UAH/шт.</v>
      </c>
      <c r="D12" s="283" t="str">
        <f>D24</f>
        <v>В валюте, в которой производиться расчет, UAH/шт.</v>
      </c>
      <c r="E12" s="283"/>
      <c r="F12" s="283"/>
      <c r="G12" s="283"/>
      <c r="H12" s="283" t="s">
        <v>141</v>
      </c>
      <c r="I12" s="283"/>
      <c r="J12" s="283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12" s="283"/>
      <c r="L12" s="68"/>
      <c r="O12" s="68"/>
      <c r="P12" s="70"/>
      <c r="Q12" s="95"/>
      <c r="R12" s="94" t="s">
        <v>30</v>
      </c>
      <c r="S12" s="71"/>
    </row>
    <row r="13" spans="1:27" s="1" customFormat="1" ht="44.7" customHeight="1" x14ac:dyDescent="0.55000000000000004">
      <c r="A13" s="290" t="s">
        <v>158</v>
      </c>
      <c r="B13" s="290"/>
      <c r="C13" s="179">
        <v>350</v>
      </c>
      <c r="D13" s="272">
        <f>C13/CHOOSE($O$2,1,$F$5,$I$5,$K$5)</f>
        <v>350</v>
      </c>
      <c r="E13" s="272"/>
      <c r="F13" s="226">
        <v>98</v>
      </c>
      <c r="G13" s="245"/>
      <c r="H13" s="273">
        <f>C13*F13</f>
        <v>34300</v>
      </c>
      <c r="I13" s="274"/>
      <c r="J13" s="272">
        <f>H13/CHOOSE($O$2,1,$F$5,$I$5,$K$5)</f>
        <v>34300</v>
      </c>
      <c r="K13" s="272"/>
      <c r="L13" s="68"/>
      <c r="O13" s="68"/>
      <c r="P13" s="70"/>
      <c r="Q13" s="95"/>
      <c r="R13" s="94" t="s">
        <v>31</v>
      </c>
      <c r="S13" s="95"/>
      <c r="T13" s="95"/>
      <c r="U13" s="95"/>
      <c r="V13" s="95"/>
      <c r="W13" s="95"/>
      <c r="X13" s="95"/>
    </row>
    <row r="14" spans="1:27" ht="44.7" customHeight="1" x14ac:dyDescent="0.55000000000000004">
      <c r="A14" s="290" t="s">
        <v>159</v>
      </c>
      <c r="B14" s="290"/>
      <c r="C14" s="179">
        <v>250</v>
      </c>
      <c r="D14" s="272">
        <f t="shared" ref="D14:D18" si="0">C14/CHOOSE($O$2,1,$F$5,$I$5,$K$5)</f>
        <v>250</v>
      </c>
      <c r="E14" s="272"/>
      <c r="F14" s="226">
        <v>52</v>
      </c>
      <c r="G14" s="245"/>
      <c r="H14" s="273">
        <f t="shared" ref="H14:H18" si="1">C14*F14</f>
        <v>13000</v>
      </c>
      <c r="I14" s="274"/>
      <c r="J14" s="272">
        <f t="shared" ref="J14:J19" si="2">H14/CHOOSE($O$2,1,$F$5,$I$5,$K$5)</f>
        <v>13000</v>
      </c>
      <c r="K14" s="272"/>
      <c r="L14" s="78"/>
      <c r="O14" s="94"/>
      <c r="P14" s="94"/>
      <c r="Q14" s="72"/>
      <c r="R14" s="95"/>
      <c r="S14" s="95"/>
      <c r="T14" s="95"/>
      <c r="U14" s="95"/>
      <c r="V14" s="95"/>
      <c r="W14" s="95"/>
      <c r="X14" s="95"/>
      <c r="Y14" s="1"/>
    </row>
    <row r="15" spans="1:27" ht="44.7" customHeight="1" x14ac:dyDescent="0.55000000000000004">
      <c r="A15" s="290" t="s">
        <v>160</v>
      </c>
      <c r="B15" s="290"/>
      <c r="C15" s="179">
        <v>450</v>
      </c>
      <c r="D15" s="272">
        <f t="shared" si="0"/>
        <v>450</v>
      </c>
      <c r="E15" s="272"/>
      <c r="F15" s="226">
        <v>99</v>
      </c>
      <c r="G15" s="245"/>
      <c r="H15" s="273">
        <f t="shared" si="1"/>
        <v>44550</v>
      </c>
      <c r="I15" s="274"/>
      <c r="J15" s="272">
        <f t="shared" si="2"/>
        <v>44550</v>
      </c>
      <c r="K15" s="272"/>
      <c r="M15" s="156"/>
      <c r="R15" s="95"/>
      <c r="S15" s="95"/>
      <c r="T15" s="95"/>
      <c r="U15" s="95"/>
      <c r="V15" s="95"/>
      <c r="W15" s="95"/>
      <c r="X15" s="95"/>
      <c r="Y15" s="1"/>
    </row>
    <row r="16" spans="1:27" ht="44.7" customHeight="1" x14ac:dyDescent="0.55000000000000004">
      <c r="A16" s="290" t="s">
        <v>161</v>
      </c>
      <c r="B16" s="290"/>
      <c r="C16" s="179">
        <v>275</v>
      </c>
      <c r="D16" s="272">
        <f t="shared" si="0"/>
        <v>275</v>
      </c>
      <c r="E16" s="272"/>
      <c r="F16" s="226">
        <v>42</v>
      </c>
      <c r="G16" s="245"/>
      <c r="H16" s="273">
        <f t="shared" si="1"/>
        <v>11550</v>
      </c>
      <c r="I16" s="274"/>
      <c r="J16" s="272">
        <f t="shared" si="2"/>
        <v>11550</v>
      </c>
      <c r="K16" s="272"/>
      <c r="M16" s="156"/>
      <c r="R16" s="95"/>
      <c r="S16" s="95"/>
      <c r="T16" s="95"/>
      <c r="U16" s="95"/>
      <c r="V16" s="95"/>
      <c r="W16" s="95"/>
      <c r="X16" s="95"/>
      <c r="Y16" s="1"/>
    </row>
    <row r="17" spans="1:27" s="1" customFormat="1" ht="44.7" customHeight="1" x14ac:dyDescent="0.55000000000000004">
      <c r="A17" s="290"/>
      <c r="B17" s="290"/>
      <c r="C17" s="179"/>
      <c r="D17" s="272">
        <f t="shared" si="0"/>
        <v>0</v>
      </c>
      <c r="E17" s="272"/>
      <c r="F17" s="226"/>
      <c r="G17" s="245"/>
      <c r="H17" s="273">
        <f t="shared" si="1"/>
        <v>0</v>
      </c>
      <c r="I17" s="274"/>
      <c r="J17" s="272">
        <f t="shared" si="2"/>
        <v>0</v>
      </c>
      <c r="K17" s="272"/>
      <c r="L17" s="68"/>
      <c r="O17" s="68"/>
      <c r="P17" s="70"/>
      <c r="Q17" s="95"/>
      <c r="R17" s="95"/>
      <c r="S17" s="95"/>
      <c r="T17" s="95"/>
      <c r="U17" s="95"/>
      <c r="V17" s="95"/>
      <c r="W17" s="95"/>
      <c r="X17" s="95"/>
    </row>
    <row r="18" spans="1:27" s="1" customFormat="1" ht="44.7" customHeight="1" x14ac:dyDescent="0.55000000000000004">
      <c r="A18" s="290"/>
      <c r="B18" s="290"/>
      <c r="C18" s="179"/>
      <c r="D18" s="272">
        <f t="shared" si="0"/>
        <v>0</v>
      </c>
      <c r="E18" s="272"/>
      <c r="F18" s="226"/>
      <c r="G18" s="245"/>
      <c r="H18" s="273">
        <f t="shared" si="1"/>
        <v>0</v>
      </c>
      <c r="I18" s="274"/>
      <c r="J18" s="272">
        <f t="shared" si="2"/>
        <v>0</v>
      </c>
      <c r="K18" s="272"/>
      <c r="L18" s="68"/>
      <c r="O18" s="68"/>
      <c r="P18" s="70"/>
      <c r="Q18" s="95"/>
      <c r="R18" s="95"/>
      <c r="S18" s="95"/>
      <c r="T18" s="95"/>
      <c r="U18" s="95"/>
      <c r="V18" s="95"/>
      <c r="W18" s="95"/>
      <c r="X18" s="95"/>
    </row>
    <row r="19" spans="1:27" s="1" customFormat="1" ht="44.7" customHeight="1" x14ac:dyDescent="0.55000000000000004">
      <c r="A19" s="290" t="s">
        <v>136</v>
      </c>
      <c r="B19" s="290"/>
      <c r="C19" s="244"/>
      <c r="D19" s="272"/>
      <c r="E19" s="272"/>
      <c r="F19" s="229"/>
      <c r="G19" s="242">
        <v>0.4</v>
      </c>
      <c r="H19" s="291">
        <v>25000</v>
      </c>
      <c r="I19" s="292"/>
      <c r="J19" s="272">
        <f t="shared" si="2"/>
        <v>25000</v>
      </c>
      <c r="K19" s="272"/>
      <c r="L19" s="68"/>
      <c r="O19" s="68"/>
      <c r="P19" s="70"/>
      <c r="Q19" s="95"/>
      <c r="R19" s="95"/>
      <c r="S19" s="95"/>
      <c r="T19" s="95"/>
      <c r="U19" s="95"/>
      <c r="V19" s="95"/>
      <c r="W19" s="95"/>
      <c r="X19" s="95"/>
    </row>
    <row r="20" spans="1:27" ht="35.049999999999997" customHeight="1" x14ac:dyDescent="0.55000000000000004">
      <c r="A20" s="271" t="s">
        <v>3</v>
      </c>
      <c r="B20" s="271"/>
      <c r="C20" s="245"/>
      <c r="D20" s="272"/>
      <c r="E20" s="272"/>
      <c r="F20" s="229"/>
      <c r="G20" s="229"/>
      <c r="H20" s="273">
        <f>SUM(H13:I19)</f>
        <v>128400</v>
      </c>
      <c r="I20" s="274"/>
      <c r="J20" s="273">
        <f>SUM(J13:K19)</f>
        <v>128400</v>
      </c>
      <c r="K20" s="274"/>
      <c r="M20" s="156"/>
      <c r="R20" s="95"/>
      <c r="S20" s="95"/>
      <c r="T20" s="95"/>
      <c r="U20" s="95"/>
      <c r="V20" s="95"/>
      <c r="W20" s="95"/>
      <c r="X20" s="95"/>
      <c r="Y20" s="1"/>
    </row>
    <row r="21" spans="1:27" ht="23.1" customHeight="1" x14ac:dyDescent="0.55000000000000004">
      <c r="A21" s="77"/>
      <c r="P21" s="82"/>
      <c r="Q21" s="94"/>
    </row>
    <row r="22" spans="1:27" ht="34.200000000000003" customHeight="1" x14ac:dyDescent="0.7">
      <c r="A22" s="168" t="str">
        <f>G7</f>
        <v>S до 600 м.кв.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85"/>
      <c r="O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</row>
    <row r="23" spans="1:27" s="1" customFormat="1" ht="39.299999999999997" customHeight="1" x14ac:dyDescent="0.55000000000000004">
      <c r="A23" s="293" t="s">
        <v>135</v>
      </c>
      <c r="B23" s="293"/>
      <c r="C23" s="283" t="s">
        <v>137</v>
      </c>
      <c r="D23" s="283"/>
      <c r="E23" s="283"/>
      <c r="F23" s="283" t="s">
        <v>138</v>
      </c>
      <c r="G23" s="283" t="s">
        <v>139</v>
      </c>
      <c r="H23" s="283" t="s">
        <v>140</v>
      </c>
      <c r="I23" s="283"/>
      <c r="J23" s="283"/>
      <c r="K23" s="283"/>
      <c r="L23" s="68"/>
      <c r="O23" s="68"/>
      <c r="P23" s="70"/>
      <c r="Q23" s="95"/>
      <c r="R23" s="94"/>
      <c r="S23" s="71"/>
    </row>
    <row r="24" spans="1:27" s="1" customFormat="1" ht="47.4" customHeight="1" x14ac:dyDescent="0.55000000000000004">
      <c r="A24" s="293"/>
      <c r="B24" s="293"/>
      <c r="C24" s="228" t="s">
        <v>147</v>
      </c>
      <c r="D24" s="283" t="str">
        <f>"В валюте, в которой производиться расчет, "&amp;CHOOSE($O$2,$P$2,$P$3,$P$4,$P$5)&amp;"/шт."</f>
        <v>В валюте, в которой производиться расчет, UAH/шт.</v>
      </c>
      <c r="E24" s="283"/>
      <c r="F24" s="283"/>
      <c r="G24" s="283"/>
      <c r="H24" s="283" t="s">
        <v>141</v>
      </c>
      <c r="I24" s="283"/>
      <c r="J24" s="283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24" s="283"/>
      <c r="L24" s="68"/>
      <c r="O24" s="68"/>
      <c r="P24" s="70"/>
      <c r="Q24" s="95"/>
      <c r="R24" s="94"/>
      <c r="S24" s="71"/>
    </row>
    <row r="25" spans="1:27" s="1" customFormat="1" ht="44.7" customHeight="1" x14ac:dyDescent="0.55000000000000004">
      <c r="A25" s="290" t="s">
        <v>158</v>
      </c>
      <c r="B25" s="290"/>
      <c r="C25" s="179">
        <v>330</v>
      </c>
      <c r="D25" s="272">
        <f>C25/CHOOSE($O$2,1,$F$5,$I$5,$K$5)</f>
        <v>330</v>
      </c>
      <c r="E25" s="272"/>
      <c r="F25" s="226">
        <v>153</v>
      </c>
      <c r="G25" s="245"/>
      <c r="H25" s="273">
        <f>C25*F25</f>
        <v>50490</v>
      </c>
      <c r="I25" s="274"/>
      <c r="J25" s="272">
        <f>H25/CHOOSE($O$2,1,$F$5,$I$5,$K$5)</f>
        <v>50490</v>
      </c>
      <c r="K25" s="272"/>
      <c r="L25" s="68"/>
      <c r="O25" s="68"/>
      <c r="P25" s="70"/>
      <c r="Q25" s="95"/>
      <c r="R25" s="95"/>
      <c r="S25" s="95"/>
      <c r="T25" s="95"/>
      <c r="U25" s="95"/>
      <c r="V25" s="95"/>
      <c r="W25" s="95"/>
      <c r="X25" s="95"/>
    </row>
    <row r="26" spans="1:27" ht="44.7" customHeight="1" x14ac:dyDescent="0.55000000000000004">
      <c r="A26" s="290" t="s">
        <v>159</v>
      </c>
      <c r="B26" s="290"/>
      <c r="C26" s="179">
        <v>250</v>
      </c>
      <c r="D26" s="272">
        <f t="shared" ref="D26:D30" si="3">C26/CHOOSE($O$2,1,$F$5,$I$5,$K$5)</f>
        <v>250</v>
      </c>
      <c r="E26" s="272"/>
      <c r="F26" s="226">
        <v>19</v>
      </c>
      <c r="G26" s="245"/>
      <c r="H26" s="273">
        <f t="shared" ref="H26:H30" si="4">C26*F26</f>
        <v>4750</v>
      </c>
      <c r="I26" s="274"/>
      <c r="J26" s="272">
        <f t="shared" ref="J26:J31" si="5">H26/CHOOSE($O$2,1,$F$5,$I$5,$K$5)</f>
        <v>4750</v>
      </c>
      <c r="K26" s="272"/>
      <c r="L26" s="78"/>
      <c r="O26" s="94"/>
      <c r="P26" s="94"/>
      <c r="Q26" s="72"/>
      <c r="R26" s="95"/>
      <c r="S26" s="95"/>
      <c r="T26" s="95"/>
      <c r="U26" s="95"/>
      <c r="V26" s="95"/>
      <c r="W26" s="95"/>
      <c r="X26" s="95"/>
      <c r="Y26" s="1"/>
    </row>
    <row r="27" spans="1:27" ht="44.7" customHeight="1" x14ac:dyDescent="0.55000000000000004">
      <c r="A27" s="290" t="s">
        <v>160</v>
      </c>
      <c r="B27" s="290"/>
      <c r="C27" s="179">
        <v>420</v>
      </c>
      <c r="D27" s="272">
        <f t="shared" si="3"/>
        <v>420</v>
      </c>
      <c r="E27" s="272"/>
      <c r="F27" s="226">
        <v>173</v>
      </c>
      <c r="G27" s="245"/>
      <c r="H27" s="273">
        <f t="shared" si="4"/>
        <v>72660</v>
      </c>
      <c r="I27" s="274"/>
      <c r="J27" s="272">
        <f t="shared" si="5"/>
        <v>72660</v>
      </c>
      <c r="K27" s="272"/>
      <c r="M27" s="156"/>
      <c r="R27" s="95"/>
      <c r="S27" s="95"/>
      <c r="T27" s="95"/>
      <c r="U27" s="95"/>
      <c r="V27" s="95"/>
      <c r="W27" s="95"/>
      <c r="X27" s="95"/>
      <c r="Y27" s="1"/>
    </row>
    <row r="28" spans="1:27" ht="44.7" customHeight="1" x14ac:dyDescent="0.55000000000000004">
      <c r="A28" s="290" t="s">
        <v>161</v>
      </c>
      <c r="B28" s="290"/>
      <c r="C28" s="179">
        <v>200</v>
      </c>
      <c r="D28" s="272">
        <f t="shared" si="3"/>
        <v>200</v>
      </c>
      <c r="E28" s="272"/>
      <c r="F28" s="226">
        <v>26</v>
      </c>
      <c r="G28" s="245"/>
      <c r="H28" s="273">
        <f t="shared" si="4"/>
        <v>5200</v>
      </c>
      <c r="I28" s="274"/>
      <c r="J28" s="272">
        <f t="shared" si="5"/>
        <v>5200</v>
      </c>
      <c r="K28" s="272"/>
      <c r="M28" s="156"/>
      <c r="R28" s="95"/>
      <c r="S28" s="95"/>
      <c r="T28" s="95"/>
      <c r="U28" s="95"/>
      <c r="V28" s="95"/>
      <c r="W28" s="95"/>
      <c r="X28" s="95"/>
      <c r="Y28" s="1"/>
    </row>
    <row r="29" spans="1:27" s="1" customFormat="1" ht="44.7" customHeight="1" x14ac:dyDescent="0.55000000000000004">
      <c r="A29" s="290"/>
      <c r="B29" s="290"/>
      <c r="C29" s="179"/>
      <c r="D29" s="272">
        <f t="shared" si="3"/>
        <v>0</v>
      </c>
      <c r="E29" s="272"/>
      <c r="F29" s="226"/>
      <c r="G29" s="245"/>
      <c r="H29" s="273">
        <f t="shared" si="4"/>
        <v>0</v>
      </c>
      <c r="I29" s="274"/>
      <c r="J29" s="272">
        <f t="shared" si="5"/>
        <v>0</v>
      </c>
      <c r="K29" s="272"/>
      <c r="L29" s="68"/>
      <c r="O29" s="68"/>
      <c r="P29" s="70"/>
      <c r="Q29" s="95"/>
      <c r="R29" s="95"/>
      <c r="S29" s="95"/>
      <c r="T29" s="95"/>
      <c r="U29" s="95"/>
      <c r="V29" s="95"/>
      <c r="W29" s="95"/>
      <c r="X29" s="95"/>
    </row>
    <row r="30" spans="1:27" s="1" customFormat="1" ht="44.7" customHeight="1" x14ac:dyDescent="0.55000000000000004">
      <c r="A30" s="290"/>
      <c r="B30" s="290"/>
      <c r="C30" s="179"/>
      <c r="D30" s="272">
        <f t="shared" si="3"/>
        <v>0</v>
      </c>
      <c r="E30" s="272"/>
      <c r="F30" s="226"/>
      <c r="G30" s="245"/>
      <c r="H30" s="273">
        <f t="shared" si="4"/>
        <v>0</v>
      </c>
      <c r="I30" s="274"/>
      <c r="J30" s="272">
        <f t="shared" si="5"/>
        <v>0</v>
      </c>
      <c r="K30" s="272"/>
      <c r="L30" s="68"/>
      <c r="O30" s="68"/>
      <c r="P30" s="70"/>
      <c r="Q30" s="95"/>
      <c r="R30" s="95"/>
      <c r="S30" s="95"/>
      <c r="T30" s="95"/>
      <c r="U30" s="95"/>
      <c r="V30" s="95"/>
      <c r="W30" s="95"/>
      <c r="X30" s="95"/>
    </row>
    <row r="31" spans="1:27" s="1" customFormat="1" ht="44.7" customHeight="1" x14ac:dyDescent="0.55000000000000004">
      <c r="A31" s="290" t="s">
        <v>136</v>
      </c>
      <c r="B31" s="290"/>
      <c r="C31" s="244"/>
      <c r="D31" s="272"/>
      <c r="E31" s="272"/>
      <c r="F31" s="229"/>
      <c r="G31" s="242">
        <v>0.4</v>
      </c>
      <c r="H31" s="291">
        <v>30000</v>
      </c>
      <c r="I31" s="292"/>
      <c r="J31" s="272">
        <f t="shared" si="5"/>
        <v>30000</v>
      </c>
      <c r="K31" s="272"/>
      <c r="L31" s="68"/>
      <c r="O31" s="68"/>
      <c r="P31" s="70"/>
      <c r="Q31" s="95"/>
      <c r="R31" s="95"/>
      <c r="S31" s="95"/>
      <c r="T31" s="95"/>
      <c r="U31" s="95"/>
      <c r="V31" s="95"/>
      <c r="W31" s="95"/>
      <c r="X31" s="95"/>
    </row>
    <row r="32" spans="1:27" ht="35.049999999999997" customHeight="1" x14ac:dyDescent="0.55000000000000004">
      <c r="A32" s="271" t="s">
        <v>3</v>
      </c>
      <c r="B32" s="271"/>
      <c r="C32" s="245"/>
      <c r="D32" s="272"/>
      <c r="E32" s="272"/>
      <c r="F32" s="229"/>
      <c r="G32" s="229"/>
      <c r="H32" s="273">
        <f>SUM(H25:I31)</f>
        <v>163100</v>
      </c>
      <c r="I32" s="274"/>
      <c r="J32" s="273">
        <f>SUM(J25:K31)</f>
        <v>163100</v>
      </c>
      <c r="K32" s="274"/>
      <c r="M32" s="156"/>
      <c r="R32" s="95"/>
      <c r="S32" s="95"/>
      <c r="T32" s="95"/>
      <c r="U32" s="95"/>
      <c r="V32" s="95"/>
      <c r="W32" s="95"/>
      <c r="X32" s="95"/>
      <c r="Y32" s="1"/>
    </row>
    <row r="33" spans="1:27" ht="23.1" customHeight="1" x14ac:dyDescent="0.55000000000000004">
      <c r="A33" s="77"/>
      <c r="P33" s="82"/>
      <c r="Q33" s="94"/>
    </row>
    <row r="34" spans="1:27" ht="34.200000000000003" customHeight="1" x14ac:dyDescent="0.7">
      <c r="A34" s="168" t="str">
        <f>I7</f>
        <v>S от 600 м.кв.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85"/>
      <c r="O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</row>
    <row r="35" spans="1:27" s="1" customFormat="1" ht="39.299999999999997" customHeight="1" x14ac:dyDescent="0.55000000000000004">
      <c r="A35" s="293" t="s">
        <v>135</v>
      </c>
      <c r="B35" s="293"/>
      <c r="C35" s="283" t="s">
        <v>137</v>
      </c>
      <c r="D35" s="283"/>
      <c r="E35" s="283"/>
      <c r="F35" s="283" t="s">
        <v>138</v>
      </c>
      <c r="G35" s="283" t="s">
        <v>139</v>
      </c>
      <c r="H35" s="283" t="s">
        <v>140</v>
      </c>
      <c r="I35" s="283"/>
      <c r="J35" s="283"/>
      <c r="K35" s="283"/>
      <c r="L35" s="68"/>
      <c r="O35" s="68"/>
      <c r="P35" s="70"/>
      <c r="Q35" s="95"/>
      <c r="R35" s="94"/>
      <c r="S35" s="71"/>
    </row>
    <row r="36" spans="1:27" s="1" customFormat="1" ht="47.4" customHeight="1" x14ac:dyDescent="0.55000000000000004">
      <c r="A36" s="293"/>
      <c r="B36" s="293"/>
      <c r="C36" s="228" t="str">
        <f>C24</f>
        <v>UAH/шт.</v>
      </c>
      <c r="D36" s="283" t="str">
        <f>D24</f>
        <v>В валюте, в которой производиться расчет, UAH/шт.</v>
      </c>
      <c r="E36" s="283"/>
      <c r="F36" s="283"/>
      <c r="G36" s="283"/>
      <c r="H36" s="283" t="s">
        <v>141</v>
      </c>
      <c r="I36" s="283"/>
      <c r="J36" s="283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36" s="283"/>
      <c r="L36" s="68"/>
      <c r="O36" s="68"/>
      <c r="P36" s="70"/>
      <c r="Q36" s="95"/>
      <c r="R36" s="94"/>
      <c r="S36" s="71"/>
    </row>
    <row r="37" spans="1:27" s="1" customFormat="1" ht="44.7" customHeight="1" x14ac:dyDescent="0.55000000000000004">
      <c r="A37" s="290" t="s">
        <v>158</v>
      </c>
      <c r="B37" s="290"/>
      <c r="C37" s="179">
        <v>360</v>
      </c>
      <c r="D37" s="272">
        <f>C37/CHOOSE($O$2,1,$F$5,$I$5,$K$5)</f>
        <v>360</v>
      </c>
      <c r="E37" s="272"/>
      <c r="F37" s="226">
        <v>382</v>
      </c>
      <c r="G37" s="245"/>
      <c r="H37" s="273">
        <f>C37*F37</f>
        <v>137520</v>
      </c>
      <c r="I37" s="274"/>
      <c r="J37" s="272">
        <f>H37/CHOOSE($O$2,1,$F$5,$I$5,$K$5)</f>
        <v>137520</v>
      </c>
      <c r="K37" s="272"/>
      <c r="L37" s="68"/>
      <c r="O37" s="68"/>
      <c r="P37" s="70"/>
      <c r="Q37" s="95"/>
      <c r="R37" s="95"/>
      <c r="S37" s="95"/>
      <c r="T37" s="95"/>
      <c r="U37" s="95"/>
      <c r="V37" s="95"/>
      <c r="W37" s="95"/>
      <c r="X37" s="95"/>
    </row>
    <row r="38" spans="1:27" ht="44.7" customHeight="1" x14ac:dyDescent="0.55000000000000004">
      <c r="A38" s="290" t="s">
        <v>160</v>
      </c>
      <c r="B38" s="290"/>
      <c r="C38" s="179">
        <v>460</v>
      </c>
      <c r="D38" s="272">
        <f t="shared" ref="D38:D42" si="6">C38/CHOOSE($O$2,1,$F$5,$I$5,$K$5)</f>
        <v>460</v>
      </c>
      <c r="E38" s="272"/>
      <c r="F38" s="226">
        <v>349</v>
      </c>
      <c r="G38" s="245"/>
      <c r="H38" s="273">
        <f t="shared" ref="H38:H42" si="7">C38*F38</f>
        <v>160540</v>
      </c>
      <c r="I38" s="274"/>
      <c r="J38" s="272">
        <f t="shared" ref="J38:J43" si="8">H38/CHOOSE($O$2,1,$F$5,$I$5,$K$5)</f>
        <v>160540</v>
      </c>
      <c r="K38" s="272"/>
      <c r="L38" s="78"/>
      <c r="O38" s="94"/>
      <c r="P38" s="94"/>
      <c r="Q38" s="72"/>
      <c r="R38" s="95"/>
      <c r="S38" s="95"/>
      <c r="T38" s="95"/>
      <c r="U38" s="95"/>
      <c r="V38" s="95"/>
      <c r="W38" s="95"/>
      <c r="X38" s="95"/>
      <c r="Y38" s="1"/>
    </row>
    <row r="39" spans="1:27" ht="44.7" customHeight="1" x14ac:dyDescent="0.55000000000000004">
      <c r="A39" s="290" t="s">
        <v>161</v>
      </c>
      <c r="B39" s="290"/>
      <c r="C39" s="179">
        <v>250</v>
      </c>
      <c r="D39" s="272">
        <f t="shared" si="6"/>
        <v>250</v>
      </c>
      <c r="E39" s="272"/>
      <c r="F39" s="226">
        <v>245</v>
      </c>
      <c r="G39" s="245"/>
      <c r="H39" s="273">
        <f t="shared" si="7"/>
        <v>61250</v>
      </c>
      <c r="I39" s="274"/>
      <c r="J39" s="272">
        <f t="shared" si="8"/>
        <v>61250</v>
      </c>
      <c r="K39" s="272"/>
      <c r="M39" s="156"/>
      <c r="R39" s="95"/>
      <c r="S39" s="95"/>
      <c r="T39" s="95"/>
      <c r="U39" s="95"/>
      <c r="V39" s="95"/>
      <c r="W39" s="95"/>
      <c r="X39" s="95"/>
      <c r="Y39" s="1"/>
    </row>
    <row r="40" spans="1:27" ht="44.7" customHeight="1" x14ac:dyDescent="0.55000000000000004">
      <c r="A40" s="290" t="s">
        <v>162</v>
      </c>
      <c r="B40" s="290"/>
      <c r="C40" s="179">
        <v>500</v>
      </c>
      <c r="D40" s="272">
        <f t="shared" si="6"/>
        <v>500</v>
      </c>
      <c r="E40" s="272"/>
      <c r="F40" s="226">
        <v>143</v>
      </c>
      <c r="G40" s="245"/>
      <c r="H40" s="273">
        <f t="shared" si="7"/>
        <v>71500</v>
      </c>
      <c r="I40" s="274"/>
      <c r="J40" s="272">
        <f t="shared" si="8"/>
        <v>71500</v>
      </c>
      <c r="K40" s="272"/>
      <c r="M40" s="156"/>
      <c r="R40" s="95"/>
      <c r="S40" s="95"/>
      <c r="T40" s="95"/>
      <c r="U40" s="95"/>
      <c r="V40" s="95"/>
      <c r="W40" s="95"/>
      <c r="X40" s="95"/>
      <c r="Y40" s="1"/>
    </row>
    <row r="41" spans="1:27" s="1" customFormat="1" ht="44.7" customHeight="1" x14ac:dyDescent="0.55000000000000004">
      <c r="A41" s="290"/>
      <c r="B41" s="290"/>
      <c r="C41" s="179"/>
      <c r="D41" s="272">
        <f t="shared" si="6"/>
        <v>0</v>
      </c>
      <c r="E41" s="272"/>
      <c r="F41" s="226"/>
      <c r="G41" s="245"/>
      <c r="H41" s="273">
        <f t="shared" si="7"/>
        <v>0</v>
      </c>
      <c r="I41" s="274"/>
      <c r="J41" s="272">
        <f t="shared" si="8"/>
        <v>0</v>
      </c>
      <c r="K41" s="272"/>
      <c r="L41" s="68"/>
      <c r="O41" s="68"/>
      <c r="P41" s="70"/>
      <c r="Q41" s="95"/>
      <c r="R41" s="95"/>
      <c r="S41" s="95"/>
      <c r="T41" s="95"/>
      <c r="U41" s="95"/>
      <c r="V41" s="95"/>
      <c r="W41" s="95"/>
      <c r="X41" s="95"/>
    </row>
    <row r="42" spans="1:27" s="1" customFormat="1" ht="44.7" customHeight="1" x14ac:dyDescent="0.55000000000000004">
      <c r="A42" s="290"/>
      <c r="B42" s="290"/>
      <c r="C42" s="179"/>
      <c r="D42" s="272">
        <f t="shared" si="6"/>
        <v>0</v>
      </c>
      <c r="E42" s="272"/>
      <c r="F42" s="226"/>
      <c r="G42" s="245"/>
      <c r="H42" s="273">
        <f t="shared" si="7"/>
        <v>0</v>
      </c>
      <c r="I42" s="274"/>
      <c r="J42" s="272">
        <f t="shared" si="8"/>
        <v>0</v>
      </c>
      <c r="K42" s="272"/>
      <c r="L42" s="68"/>
      <c r="O42" s="68"/>
      <c r="P42" s="70"/>
      <c r="Q42" s="95"/>
      <c r="R42" s="95"/>
      <c r="S42" s="95"/>
      <c r="T42" s="95"/>
      <c r="U42" s="95"/>
      <c r="V42" s="95"/>
      <c r="W42" s="95"/>
      <c r="X42" s="95"/>
    </row>
    <row r="43" spans="1:27" s="1" customFormat="1" ht="44.7" customHeight="1" x14ac:dyDescent="0.55000000000000004">
      <c r="A43" s="290" t="s">
        <v>136</v>
      </c>
      <c r="B43" s="290"/>
      <c r="C43" s="244"/>
      <c r="D43" s="272"/>
      <c r="E43" s="272"/>
      <c r="F43" s="229"/>
      <c r="G43" s="242">
        <v>0.4</v>
      </c>
      <c r="H43" s="291">
        <v>72000</v>
      </c>
      <c r="I43" s="292"/>
      <c r="J43" s="272">
        <f t="shared" si="8"/>
        <v>72000</v>
      </c>
      <c r="K43" s="272"/>
      <c r="L43" s="68"/>
      <c r="O43" s="68"/>
      <c r="P43" s="70"/>
      <c r="Q43" s="95"/>
      <c r="R43" s="95"/>
      <c r="S43" s="95"/>
      <c r="T43" s="95"/>
      <c r="U43" s="95"/>
      <c r="V43" s="95"/>
      <c r="W43" s="95"/>
      <c r="X43" s="95"/>
    </row>
    <row r="44" spans="1:27" ht="35.049999999999997" customHeight="1" x14ac:dyDescent="0.55000000000000004">
      <c r="A44" s="271" t="s">
        <v>3</v>
      </c>
      <c r="B44" s="271"/>
      <c r="C44" s="245"/>
      <c r="D44" s="272"/>
      <c r="E44" s="272"/>
      <c r="F44" s="229"/>
      <c r="G44" s="229"/>
      <c r="H44" s="273">
        <f>SUM(H37:I43)</f>
        <v>502810</v>
      </c>
      <c r="I44" s="274"/>
      <c r="J44" s="273">
        <f>SUM(J37:K43)</f>
        <v>502810</v>
      </c>
      <c r="K44" s="274"/>
      <c r="M44" s="156"/>
      <c r="R44" s="95"/>
      <c r="S44" s="95"/>
      <c r="T44" s="95"/>
      <c r="U44" s="95"/>
      <c r="V44" s="95"/>
      <c r="W44" s="95"/>
      <c r="X44" s="95"/>
      <c r="Y44" s="1"/>
    </row>
    <row r="45" spans="1:27" ht="23.1" customHeight="1" x14ac:dyDescent="0.55000000000000004">
      <c r="A45" s="77"/>
      <c r="P45" s="82"/>
      <c r="Q45" s="94"/>
    </row>
    <row r="46" spans="1:27" ht="47.1" customHeight="1" thickBot="1" x14ac:dyDescent="0.6">
      <c r="A46" s="77" t="s">
        <v>123</v>
      </c>
      <c r="P46" s="82"/>
      <c r="Q46" s="94"/>
    </row>
    <row r="47" spans="1:27" s="1" customFormat="1" ht="30.6" customHeight="1" x14ac:dyDescent="0.55000000000000004">
      <c r="A47" s="281" t="s">
        <v>99</v>
      </c>
      <c r="B47" s="275"/>
      <c r="C47" s="275"/>
      <c r="D47" s="275" t="s">
        <v>96</v>
      </c>
      <c r="E47" s="275"/>
      <c r="F47" s="276"/>
      <c r="G47" s="326" t="s">
        <v>124</v>
      </c>
      <c r="H47" s="327"/>
      <c r="I47" s="327"/>
      <c r="J47" s="327"/>
      <c r="K47" s="328"/>
      <c r="L47" s="68"/>
      <c r="O47" s="68"/>
      <c r="P47" s="70"/>
      <c r="Q47" s="95"/>
      <c r="S47" s="71"/>
    </row>
    <row r="48" spans="1:27" s="1" customFormat="1" ht="32.700000000000003" customHeight="1" x14ac:dyDescent="0.55000000000000004">
      <c r="A48" s="282"/>
      <c r="B48" s="283"/>
      <c r="C48" s="283"/>
      <c r="D48" s="228" t="str">
        <f>D7</f>
        <v>S до 300 м.кв.</v>
      </c>
      <c r="E48" s="228" t="str">
        <f>G7</f>
        <v>S до 600 м.кв.</v>
      </c>
      <c r="F48" s="236" t="str">
        <f>I7</f>
        <v>S от 600 м.кв.</v>
      </c>
      <c r="G48" s="284" t="s">
        <v>125</v>
      </c>
      <c r="H48" s="285"/>
      <c r="I48" s="251" t="str">
        <f>D48</f>
        <v>S до 300 м.кв.</v>
      </c>
      <c r="J48" s="251" t="str">
        <f>E48</f>
        <v>S до 600 м.кв.</v>
      </c>
      <c r="K48" s="252" t="str">
        <f>F48</f>
        <v>S от 600 м.кв.</v>
      </c>
      <c r="L48" s="68"/>
      <c r="O48" s="68"/>
      <c r="P48" s="70"/>
      <c r="Q48" s="95"/>
      <c r="S48" s="71"/>
    </row>
    <row r="49" spans="1:19" s="1" customFormat="1" ht="35.049999999999997" customHeight="1" x14ac:dyDescent="0.55000000000000004">
      <c r="A49" s="277">
        <v>1</v>
      </c>
      <c r="B49" s="278"/>
      <c r="C49" s="278"/>
      <c r="D49" s="254">
        <v>1</v>
      </c>
      <c r="E49" s="254">
        <v>1</v>
      </c>
      <c r="F49" s="254">
        <v>1</v>
      </c>
      <c r="G49" s="286" t="str">
        <f t="shared" ref="G49:G60" si="9">R2</f>
        <v>январь</v>
      </c>
      <c r="H49" s="287"/>
      <c r="I49" s="253">
        <v>1.08</v>
      </c>
      <c r="J49" s="253">
        <v>1.08</v>
      </c>
      <c r="K49" s="227">
        <v>1.08</v>
      </c>
      <c r="L49" s="68"/>
      <c r="O49" s="68"/>
      <c r="P49" s="70"/>
      <c r="Q49" s="95"/>
      <c r="S49" s="71"/>
    </row>
    <row r="50" spans="1:19" ht="35.049999999999997" customHeight="1" x14ac:dyDescent="0.55000000000000004">
      <c r="A50" s="277">
        <v>2</v>
      </c>
      <c r="B50" s="278"/>
      <c r="C50" s="278"/>
      <c r="D50" s="254">
        <v>1</v>
      </c>
      <c r="E50" s="254">
        <v>1</v>
      </c>
      <c r="F50" s="254">
        <v>1</v>
      </c>
      <c r="G50" s="286" t="str">
        <f t="shared" si="9"/>
        <v>февраль</v>
      </c>
      <c r="H50" s="287"/>
      <c r="I50" s="253">
        <v>1.0900000000000001</v>
      </c>
      <c r="J50" s="253">
        <v>1.0900000000000001</v>
      </c>
      <c r="K50" s="227">
        <v>1.0900000000000001</v>
      </c>
      <c r="L50" s="78"/>
      <c r="O50" s="94"/>
      <c r="P50" s="94"/>
      <c r="Q50" s="72"/>
      <c r="S50" s="72"/>
    </row>
    <row r="51" spans="1:19" ht="35.049999999999997" customHeight="1" x14ac:dyDescent="0.55000000000000004">
      <c r="A51" s="277">
        <v>3</v>
      </c>
      <c r="B51" s="278"/>
      <c r="C51" s="278"/>
      <c r="D51" s="254">
        <v>1</v>
      </c>
      <c r="E51" s="254">
        <v>1</v>
      </c>
      <c r="F51" s="254">
        <v>1</v>
      </c>
      <c r="G51" s="286" t="str">
        <f t="shared" si="9"/>
        <v>март</v>
      </c>
      <c r="H51" s="287"/>
      <c r="I51" s="253">
        <v>1.31</v>
      </c>
      <c r="J51" s="253">
        <v>1.31</v>
      </c>
      <c r="K51" s="227">
        <v>1.31</v>
      </c>
      <c r="M51" s="156"/>
    </row>
    <row r="52" spans="1:19" s="1" customFormat="1" ht="35.049999999999997" customHeight="1" x14ac:dyDescent="0.55000000000000004">
      <c r="A52" s="277">
        <v>4</v>
      </c>
      <c r="B52" s="278"/>
      <c r="C52" s="278"/>
      <c r="D52" s="254">
        <v>1</v>
      </c>
      <c r="E52" s="254">
        <v>1</v>
      </c>
      <c r="F52" s="254">
        <v>1</v>
      </c>
      <c r="G52" s="286" t="str">
        <f t="shared" si="9"/>
        <v>апрель</v>
      </c>
      <c r="H52" s="287"/>
      <c r="I52" s="253">
        <v>1.1299999999999999</v>
      </c>
      <c r="J52" s="253">
        <v>1.1299999999999999</v>
      </c>
      <c r="K52" s="227">
        <v>1.1299999999999999</v>
      </c>
      <c r="L52" s="68"/>
      <c r="O52" s="68"/>
      <c r="P52" s="70"/>
      <c r="Q52" s="95"/>
      <c r="S52" s="71"/>
    </row>
    <row r="53" spans="1:19" ht="35.049999999999997" customHeight="1" x14ac:dyDescent="0.55000000000000004">
      <c r="A53" s="277">
        <v>5</v>
      </c>
      <c r="B53" s="278"/>
      <c r="C53" s="278"/>
      <c r="D53" s="254">
        <v>1</v>
      </c>
      <c r="E53" s="254">
        <v>1</v>
      </c>
      <c r="F53" s="254">
        <v>1</v>
      </c>
      <c r="G53" s="286" t="str">
        <f t="shared" si="9"/>
        <v>май</v>
      </c>
      <c r="H53" s="287"/>
      <c r="I53" s="253">
        <v>1.1000000000000001</v>
      </c>
      <c r="J53" s="253">
        <v>1.1000000000000001</v>
      </c>
      <c r="K53" s="227">
        <v>1.1000000000000001</v>
      </c>
      <c r="L53" s="78"/>
      <c r="O53" s="94"/>
      <c r="P53" s="94"/>
      <c r="Q53" s="72"/>
      <c r="S53" s="72"/>
    </row>
    <row r="54" spans="1:19" ht="35.049999999999997" customHeight="1" x14ac:dyDescent="0.55000000000000004">
      <c r="A54" s="277">
        <v>6</v>
      </c>
      <c r="B54" s="278"/>
      <c r="C54" s="278"/>
      <c r="D54" s="254">
        <v>1</v>
      </c>
      <c r="E54" s="254">
        <v>1</v>
      </c>
      <c r="F54" s="254">
        <v>1</v>
      </c>
      <c r="G54" s="286" t="str">
        <f t="shared" si="9"/>
        <v>июнь</v>
      </c>
      <c r="H54" s="287"/>
      <c r="I54" s="253">
        <v>0.92</v>
      </c>
      <c r="J54" s="253">
        <v>0.92</v>
      </c>
      <c r="K54" s="227">
        <v>0.92</v>
      </c>
      <c r="M54" s="156"/>
    </row>
    <row r="55" spans="1:19" s="1" customFormat="1" ht="35.049999999999997" customHeight="1" x14ac:dyDescent="0.55000000000000004">
      <c r="A55" s="277">
        <v>7</v>
      </c>
      <c r="B55" s="278"/>
      <c r="C55" s="278"/>
      <c r="D55" s="254">
        <v>1</v>
      </c>
      <c r="E55" s="254">
        <v>1</v>
      </c>
      <c r="F55" s="254">
        <v>1</v>
      </c>
      <c r="G55" s="286" t="str">
        <f t="shared" si="9"/>
        <v>июль</v>
      </c>
      <c r="H55" s="287"/>
      <c r="I55" s="253">
        <v>0.93</v>
      </c>
      <c r="J55" s="253">
        <v>0.93</v>
      </c>
      <c r="K55" s="227">
        <v>0.93</v>
      </c>
      <c r="L55" s="68"/>
      <c r="O55" s="68"/>
      <c r="P55" s="70"/>
      <c r="Q55" s="95"/>
      <c r="S55" s="71"/>
    </row>
    <row r="56" spans="1:19" ht="35.049999999999997" customHeight="1" x14ac:dyDescent="0.55000000000000004">
      <c r="A56" s="277">
        <v>8</v>
      </c>
      <c r="B56" s="278"/>
      <c r="C56" s="278"/>
      <c r="D56" s="254">
        <v>1</v>
      </c>
      <c r="E56" s="254">
        <v>1</v>
      </c>
      <c r="F56" s="254">
        <v>1</v>
      </c>
      <c r="G56" s="286" t="str">
        <f t="shared" si="9"/>
        <v>август</v>
      </c>
      <c r="H56" s="287"/>
      <c r="I56" s="253">
        <v>0.85</v>
      </c>
      <c r="J56" s="253">
        <v>0.85</v>
      </c>
      <c r="K56" s="227">
        <v>0.85</v>
      </c>
      <c r="L56" s="78"/>
      <c r="O56" s="94"/>
      <c r="P56" s="94"/>
      <c r="Q56" s="72"/>
      <c r="S56" s="72"/>
    </row>
    <row r="57" spans="1:19" ht="35.049999999999997" customHeight="1" x14ac:dyDescent="0.55000000000000004">
      <c r="A57" s="277">
        <v>9</v>
      </c>
      <c r="B57" s="278"/>
      <c r="C57" s="278"/>
      <c r="D57" s="254">
        <v>1</v>
      </c>
      <c r="E57" s="254">
        <v>1</v>
      </c>
      <c r="F57" s="254">
        <v>1</v>
      </c>
      <c r="G57" s="286" t="str">
        <f t="shared" si="9"/>
        <v>сентябрь</v>
      </c>
      <c r="H57" s="287"/>
      <c r="I57" s="253">
        <v>1.02</v>
      </c>
      <c r="J57" s="253">
        <v>1.02</v>
      </c>
      <c r="K57" s="227">
        <v>1.02</v>
      </c>
      <c r="M57" s="156"/>
    </row>
    <row r="58" spans="1:19" s="1" customFormat="1" ht="35.049999999999997" customHeight="1" x14ac:dyDescent="0.55000000000000004">
      <c r="A58" s="277">
        <v>10</v>
      </c>
      <c r="B58" s="278"/>
      <c r="C58" s="278"/>
      <c r="D58" s="254">
        <v>1</v>
      </c>
      <c r="E58" s="254">
        <v>1</v>
      </c>
      <c r="F58" s="254">
        <v>1</v>
      </c>
      <c r="G58" s="286" t="str">
        <f t="shared" si="9"/>
        <v>октябрь</v>
      </c>
      <c r="H58" s="287"/>
      <c r="I58" s="253">
        <v>0.87</v>
      </c>
      <c r="J58" s="253">
        <v>0.87</v>
      </c>
      <c r="K58" s="227">
        <v>0.87</v>
      </c>
      <c r="L58" s="68"/>
      <c r="M58" s="183"/>
      <c r="O58" s="68"/>
      <c r="P58" s="70"/>
      <c r="Q58" s="95"/>
      <c r="S58" s="71"/>
    </row>
    <row r="59" spans="1:19" ht="35.049999999999997" customHeight="1" x14ac:dyDescent="0.55000000000000004">
      <c r="A59" s="277">
        <v>11</v>
      </c>
      <c r="B59" s="278"/>
      <c r="C59" s="278"/>
      <c r="D59" s="254">
        <v>1</v>
      </c>
      <c r="E59" s="254">
        <v>1</v>
      </c>
      <c r="F59" s="254">
        <v>1</v>
      </c>
      <c r="G59" s="286" t="str">
        <f t="shared" si="9"/>
        <v>ноябрь</v>
      </c>
      <c r="H59" s="287"/>
      <c r="I59" s="253">
        <v>0.9</v>
      </c>
      <c r="J59" s="253">
        <v>0.9</v>
      </c>
      <c r="K59" s="227">
        <v>0.9</v>
      </c>
      <c r="L59" s="78"/>
      <c r="O59" s="94"/>
      <c r="P59" s="94"/>
      <c r="Q59" s="72"/>
      <c r="S59" s="72"/>
    </row>
    <row r="60" spans="1:19" ht="35.049999999999997" customHeight="1" thickBot="1" x14ac:dyDescent="0.6">
      <c r="A60" s="279">
        <v>12</v>
      </c>
      <c r="B60" s="280"/>
      <c r="C60" s="280"/>
      <c r="D60" s="231">
        <v>1</v>
      </c>
      <c r="E60" s="231">
        <v>1</v>
      </c>
      <c r="F60" s="231">
        <v>1</v>
      </c>
      <c r="G60" s="288" t="str">
        <f t="shared" si="9"/>
        <v>декабрь</v>
      </c>
      <c r="H60" s="289"/>
      <c r="I60" s="231">
        <v>0.8</v>
      </c>
      <c r="J60" s="231">
        <v>0.8</v>
      </c>
      <c r="K60" s="232">
        <v>0.8</v>
      </c>
      <c r="M60" s="156"/>
    </row>
    <row r="61" spans="1:19" ht="32.4" customHeight="1" x14ac:dyDescent="0.55000000000000004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K61" s="314"/>
      <c r="P61" s="82"/>
      <c r="Q61" s="94"/>
    </row>
    <row r="62" spans="1:19" ht="54.3" customHeight="1" x14ac:dyDescent="0.55000000000000004">
      <c r="A62" s="315"/>
      <c r="B62" s="315"/>
      <c r="C62" s="198" t="s">
        <v>111</v>
      </c>
      <c r="D62" s="283" t="s">
        <v>97</v>
      </c>
      <c r="E62" s="283"/>
      <c r="F62" s="198" t="s">
        <v>98</v>
      </c>
      <c r="G62" s="203" t="s">
        <v>112</v>
      </c>
      <c r="H62" s="203" t="s">
        <v>113</v>
      </c>
      <c r="I62" s="203" t="s">
        <v>114</v>
      </c>
      <c r="J62" s="283" t="s">
        <v>100</v>
      </c>
      <c r="K62" s="283"/>
      <c r="P62" s="82"/>
      <c r="Q62" s="94"/>
    </row>
    <row r="63" spans="1:19" ht="43.8" customHeight="1" x14ac:dyDescent="0.55000000000000004">
      <c r="A63" s="317" t="s">
        <v>33</v>
      </c>
      <c r="B63" s="317"/>
      <c r="C63" s="197">
        <v>1.2</v>
      </c>
      <c r="D63" s="316">
        <v>1.1000000000000001</v>
      </c>
      <c r="E63" s="316"/>
      <c r="F63" s="197">
        <v>1.05</v>
      </c>
      <c r="G63" s="197">
        <v>1</v>
      </c>
      <c r="H63" s="197">
        <v>1</v>
      </c>
      <c r="I63" s="197">
        <v>1</v>
      </c>
      <c r="J63" s="316">
        <v>0.1</v>
      </c>
      <c r="K63" s="316"/>
      <c r="M63" s="156"/>
    </row>
    <row r="64" spans="1:19" ht="43.8" customHeight="1" x14ac:dyDescent="0.55000000000000004">
      <c r="A64" s="317" t="s">
        <v>35</v>
      </c>
      <c r="B64" s="317"/>
      <c r="C64" s="197">
        <v>1.4</v>
      </c>
      <c r="D64" s="316">
        <v>1.2</v>
      </c>
      <c r="E64" s="316"/>
      <c r="F64" s="197">
        <v>1.1000000000000001</v>
      </c>
      <c r="G64" s="197">
        <v>1</v>
      </c>
      <c r="H64" s="197">
        <v>1</v>
      </c>
      <c r="I64" s="197">
        <v>1</v>
      </c>
      <c r="J64" s="316"/>
      <c r="K64" s="316"/>
      <c r="M64" s="156"/>
    </row>
    <row r="65" spans="1:28" ht="56.1" customHeight="1" x14ac:dyDescent="0.55000000000000004">
      <c r="A65" s="303" t="s">
        <v>142</v>
      </c>
      <c r="B65" s="303"/>
      <c r="C65" s="303"/>
      <c r="D65" s="303"/>
      <c r="E65" s="303"/>
      <c r="F65" s="303"/>
      <c r="G65" s="303"/>
      <c r="H65" s="303"/>
      <c r="I65" s="303"/>
      <c r="J65" s="303"/>
      <c r="K65" s="303"/>
      <c r="P65" s="82"/>
      <c r="Q65" s="94"/>
    </row>
    <row r="66" spans="1:28" ht="34.200000000000003" customHeight="1" thickBot="1" x14ac:dyDescent="0.6">
      <c r="A66" s="167" t="s">
        <v>56</v>
      </c>
      <c r="H66" s="4"/>
      <c r="I66" s="4"/>
      <c r="J66" s="4"/>
    </row>
    <row r="67" spans="1:28" ht="34.200000000000003" customHeight="1" x14ac:dyDescent="0.55000000000000004">
      <c r="A67" s="167"/>
      <c r="D67" s="332" t="str">
        <f>D7</f>
        <v>S до 300 м.кв.</v>
      </c>
      <c r="E67" s="333"/>
      <c r="F67" s="332" t="str">
        <f>G7</f>
        <v>S до 600 м.кв.</v>
      </c>
      <c r="G67" s="334"/>
      <c r="H67" s="335"/>
      <c r="I67" s="336" t="str">
        <f>K48</f>
        <v>S от 600 м.кв.</v>
      </c>
      <c r="J67" s="334"/>
      <c r="K67" s="335"/>
    </row>
    <row r="68" spans="1:28" ht="62.1" customHeight="1" x14ac:dyDescent="0.6">
      <c r="D68" s="230" t="str">
        <f>C12</f>
        <v>UAH/шт.</v>
      </c>
      <c r="E68" s="224" t="str">
        <f>"В валюте, в которой производиться расчет, "&amp;CHOOSE($O$2,$P$2,$P$3,$P$4,$P$5)&amp;""</f>
        <v>В валюте, в которой производиться расчет, UAH</v>
      </c>
      <c r="F68" s="230" t="str">
        <f>D68</f>
        <v>UAH/шт.</v>
      </c>
      <c r="G68" s="283" t="str">
        <f>"В валюте, в которой производиться расчет, "&amp;CHOOSE($O$2,$P$2,$P$3,$P$4,$P$5)&amp;""</f>
        <v>В валюте, в которой производиться расчет, UAH</v>
      </c>
      <c r="H68" s="329"/>
      <c r="I68" s="225" t="str">
        <f>F68</f>
        <v>UAH/шт.</v>
      </c>
      <c r="J68" s="283" t="str">
        <f>"В валюте, в которой производиться расчет, "&amp;CHOOSE($O$2,$P$2,$P$3,$P$4,$P$5)&amp;""</f>
        <v>В валюте, в которой производиться расчет, UAH</v>
      </c>
      <c r="K68" s="329"/>
      <c r="L68" s="83"/>
      <c r="M68" s="83"/>
      <c r="P68" s="84"/>
      <c r="Q68" s="84"/>
      <c r="S68" s="84"/>
      <c r="T68" s="84"/>
      <c r="U68" s="84"/>
      <c r="V68" s="84"/>
      <c r="W68" s="84"/>
      <c r="X68" s="84"/>
      <c r="Y68" s="84"/>
      <c r="Z68" s="84"/>
      <c r="AA68" s="84"/>
      <c r="AB68" s="84"/>
    </row>
    <row r="69" spans="1:28" ht="42" customHeight="1" x14ac:dyDescent="0.6">
      <c r="A69" s="83"/>
      <c r="B69" s="262" t="s">
        <v>43</v>
      </c>
      <c r="C69" s="262"/>
      <c r="D69" s="237">
        <f>45000*28</f>
        <v>1260000</v>
      </c>
      <c r="E69" s="246">
        <f t="shared" ref="E69:E76" si="10">D69/CHOOSE($O$2,1,$F$5,$I$5,$K$5)</f>
        <v>1260000</v>
      </c>
      <c r="F69" s="237">
        <f>60000*28</f>
        <v>1680000</v>
      </c>
      <c r="G69" s="330">
        <f t="shared" ref="G69:G76" si="11">F69/CHOOSE($O$2,1,$F$5,$I$5,$K$5)</f>
        <v>1680000</v>
      </c>
      <c r="H69" s="331"/>
      <c r="I69" s="248">
        <f>100000*28</f>
        <v>2800000</v>
      </c>
      <c r="J69" s="330">
        <f t="shared" ref="J69:J76" si="12">I69/CHOOSE($O$2,1,$F$5,$I$5,$K$5)</f>
        <v>2800000</v>
      </c>
      <c r="K69" s="331"/>
      <c r="L69" s="85"/>
      <c r="O69" s="84"/>
      <c r="P69" s="84"/>
      <c r="Q69" s="84"/>
      <c r="S69" s="84"/>
      <c r="T69" s="84"/>
      <c r="U69" s="84"/>
      <c r="V69" s="84"/>
      <c r="W69" s="84"/>
      <c r="X69" s="84"/>
      <c r="Y69" s="84"/>
      <c r="Z69" s="84"/>
      <c r="AA69" s="84"/>
    </row>
    <row r="70" spans="1:28" ht="42" customHeight="1" x14ac:dyDescent="0.6">
      <c r="A70" s="83"/>
      <c r="B70" s="296" t="s">
        <v>118</v>
      </c>
      <c r="C70" s="296"/>
      <c r="D70" s="237"/>
      <c r="E70" s="246">
        <f t="shared" si="10"/>
        <v>0</v>
      </c>
      <c r="F70" s="237"/>
      <c r="G70" s="330">
        <f t="shared" si="11"/>
        <v>0</v>
      </c>
      <c r="H70" s="331"/>
      <c r="I70" s="248"/>
      <c r="J70" s="330">
        <f t="shared" si="12"/>
        <v>0</v>
      </c>
      <c r="K70" s="331"/>
      <c r="L70" s="85"/>
      <c r="O70" s="84"/>
      <c r="P70" s="84"/>
      <c r="Q70" s="84"/>
      <c r="S70" s="84"/>
      <c r="T70" s="84"/>
      <c r="U70" s="84"/>
      <c r="V70" s="84"/>
      <c r="W70" s="84"/>
      <c r="X70" s="84"/>
      <c r="Y70" s="84"/>
      <c r="Z70" s="84"/>
      <c r="AA70" s="84"/>
    </row>
    <row r="71" spans="1:28" ht="42" customHeight="1" x14ac:dyDescent="0.6">
      <c r="A71" s="83"/>
      <c r="B71" s="296" t="s">
        <v>119</v>
      </c>
      <c r="C71" s="296"/>
      <c r="D71" s="237"/>
      <c r="E71" s="246">
        <f t="shared" si="10"/>
        <v>0</v>
      </c>
      <c r="F71" s="237"/>
      <c r="G71" s="330">
        <f t="shared" si="11"/>
        <v>0</v>
      </c>
      <c r="H71" s="331"/>
      <c r="I71" s="248"/>
      <c r="J71" s="330">
        <f t="shared" si="12"/>
        <v>0</v>
      </c>
      <c r="K71" s="331"/>
      <c r="L71" s="85"/>
      <c r="O71" s="84"/>
      <c r="P71" s="84"/>
      <c r="Q71" s="84"/>
      <c r="S71" s="84"/>
      <c r="T71" s="84"/>
      <c r="U71" s="84"/>
      <c r="V71" s="84"/>
      <c r="W71" s="84"/>
      <c r="X71" s="84"/>
      <c r="Y71" s="84"/>
      <c r="Z71" s="84"/>
      <c r="AA71" s="84"/>
    </row>
    <row r="72" spans="1:28" ht="42" customHeight="1" x14ac:dyDescent="0.6">
      <c r="A72" s="139"/>
      <c r="B72" s="262" t="s">
        <v>57</v>
      </c>
      <c r="C72" s="262"/>
      <c r="D72" s="237"/>
      <c r="E72" s="246">
        <f t="shared" si="10"/>
        <v>0</v>
      </c>
      <c r="F72" s="237"/>
      <c r="G72" s="330">
        <f t="shared" si="11"/>
        <v>0</v>
      </c>
      <c r="H72" s="331"/>
      <c r="I72" s="248"/>
      <c r="J72" s="330">
        <f t="shared" si="12"/>
        <v>0</v>
      </c>
      <c r="K72" s="331"/>
      <c r="L72" s="85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</row>
    <row r="73" spans="1:28" ht="42" customHeight="1" x14ac:dyDescent="0.6">
      <c r="A73" s="139"/>
      <c r="B73" s="262" t="s">
        <v>55</v>
      </c>
      <c r="C73" s="262"/>
      <c r="D73" s="237"/>
      <c r="E73" s="246">
        <f t="shared" si="10"/>
        <v>0</v>
      </c>
      <c r="F73" s="237"/>
      <c r="G73" s="330">
        <f t="shared" si="11"/>
        <v>0</v>
      </c>
      <c r="H73" s="331"/>
      <c r="I73" s="248"/>
      <c r="J73" s="330">
        <f t="shared" si="12"/>
        <v>0</v>
      </c>
      <c r="K73" s="331"/>
      <c r="L73" s="85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</row>
    <row r="74" spans="1:28" ht="42" customHeight="1" x14ac:dyDescent="0.6">
      <c r="A74" s="83"/>
      <c r="B74" s="262" t="s">
        <v>64</v>
      </c>
      <c r="C74" s="262"/>
      <c r="D74" s="237"/>
      <c r="E74" s="246">
        <f t="shared" si="10"/>
        <v>0</v>
      </c>
      <c r="F74" s="237"/>
      <c r="G74" s="330">
        <f t="shared" si="11"/>
        <v>0</v>
      </c>
      <c r="H74" s="331"/>
      <c r="I74" s="248"/>
      <c r="J74" s="330">
        <f t="shared" si="12"/>
        <v>0</v>
      </c>
      <c r="K74" s="331"/>
      <c r="L74" s="85"/>
      <c r="O74" s="84"/>
      <c r="P74" s="84"/>
      <c r="Q74" s="84"/>
      <c r="S74" s="84"/>
      <c r="T74" s="84"/>
      <c r="U74" s="84"/>
      <c r="V74" s="84"/>
      <c r="W74" s="84"/>
      <c r="X74" s="84"/>
      <c r="Y74" s="84"/>
      <c r="Z74" s="84"/>
      <c r="AA74" s="84"/>
    </row>
    <row r="75" spans="1:28" ht="42" customHeight="1" x14ac:dyDescent="0.6">
      <c r="A75" s="83"/>
      <c r="B75" s="262" t="s">
        <v>22</v>
      </c>
      <c r="C75" s="262"/>
      <c r="D75" s="237">
        <f>6000*28</f>
        <v>168000</v>
      </c>
      <c r="E75" s="246">
        <f t="shared" si="10"/>
        <v>168000</v>
      </c>
      <c r="F75" s="237">
        <f>8000*28</f>
        <v>224000</v>
      </c>
      <c r="G75" s="330">
        <f t="shared" si="11"/>
        <v>224000</v>
      </c>
      <c r="H75" s="331"/>
      <c r="I75" s="248">
        <f>10000*28</f>
        <v>280000</v>
      </c>
      <c r="J75" s="330">
        <f t="shared" si="12"/>
        <v>280000</v>
      </c>
      <c r="K75" s="331"/>
      <c r="L75" s="85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</row>
    <row r="76" spans="1:28" ht="42" customHeight="1" x14ac:dyDescent="0.6">
      <c r="A76" s="83"/>
      <c r="B76" s="262" t="s">
        <v>2</v>
      </c>
      <c r="C76" s="262"/>
      <c r="D76" s="237"/>
      <c r="E76" s="246">
        <f t="shared" si="10"/>
        <v>0</v>
      </c>
      <c r="F76" s="237"/>
      <c r="G76" s="330">
        <f t="shared" si="11"/>
        <v>0</v>
      </c>
      <c r="H76" s="331"/>
      <c r="I76" s="248"/>
      <c r="J76" s="330">
        <f t="shared" si="12"/>
        <v>0</v>
      </c>
      <c r="K76" s="331"/>
      <c r="L76" s="85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</row>
    <row r="77" spans="1:28" ht="42" customHeight="1" thickBot="1" x14ac:dyDescent="0.65">
      <c r="A77" s="83"/>
      <c r="B77" s="308" t="s">
        <v>0</v>
      </c>
      <c r="C77" s="308"/>
      <c r="D77" s="238">
        <f>SUM(D69:D76)</f>
        <v>1428000</v>
      </c>
      <c r="E77" s="247">
        <f>SUM(E69:E76)</f>
        <v>1428000</v>
      </c>
      <c r="F77" s="238">
        <f>SUM(F69:F76)</f>
        <v>1904000</v>
      </c>
      <c r="G77" s="337">
        <f>SUM(G69:H76)</f>
        <v>1904000</v>
      </c>
      <c r="H77" s="338"/>
      <c r="I77" s="249">
        <f>SUM(I69:I76)</f>
        <v>3080000</v>
      </c>
      <c r="J77" s="337">
        <f>SUM(J69:K76)</f>
        <v>3080000</v>
      </c>
      <c r="K77" s="338"/>
      <c r="L77" s="85"/>
      <c r="M77" s="97"/>
      <c r="O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</row>
    <row r="78" spans="1:28" ht="34.200000000000003" customHeight="1" x14ac:dyDescent="0.6">
      <c r="A78" s="303"/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85"/>
      <c r="O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</row>
    <row r="79" spans="1:28" ht="34.200000000000003" customHeight="1" x14ac:dyDescent="0.7">
      <c r="A79" s="167" t="s">
        <v>65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85"/>
      <c r="O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</row>
    <row r="80" spans="1:28" ht="34.200000000000003" customHeight="1" x14ac:dyDescent="0.7">
      <c r="A80" s="168" t="str">
        <f>D67</f>
        <v>S до 300 м.кв.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85"/>
      <c r="O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</row>
    <row r="81" spans="1:27" ht="34.200000000000003" customHeight="1" x14ac:dyDescent="0.6">
      <c r="A81" s="299" t="s">
        <v>66</v>
      </c>
      <c r="B81" s="299"/>
      <c r="C81" s="299"/>
      <c r="D81" s="300" t="s">
        <v>120</v>
      </c>
      <c r="E81" s="321" t="s">
        <v>127</v>
      </c>
      <c r="F81" s="322"/>
      <c r="G81" s="323"/>
      <c r="H81" s="324" t="s">
        <v>146</v>
      </c>
      <c r="I81" s="299" t="s">
        <v>89</v>
      </c>
      <c r="J81" s="299"/>
      <c r="K81" s="299" t="s">
        <v>90</v>
      </c>
      <c r="L81" s="85"/>
      <c r="O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</row>
    <row r="82" spans="1:27" ht="45.9" customHeight="1" x14ac:dyDescent="0.6">
      <c r="A82" s="299"/>
      <c r="B82" s="299"/>
      <c r="C82" s="299"/>
      <c r="D82" s="300"/>
      <c r="E82" s="222" t="s">
        <v>128</v>
      </c>
      <c r="F82" s="321" t="str">
        <f>"В валюте, в которой производиться расчет, "&amp;CHOOSE($O$2,$P$2,$P$3,$P$4,$P$5)&amp;"/день"</f>
        <v>В валюте, в которой производиться расчет, UAH/день</v>
      </c>
      <c r="G82" s="323"/>
      <c r="H82" s="325"/>
      <c r="I82" s="299"/>
      <c r="J82" s="299"/>
      <c r="K82" s="299"/>
      <c r="L82" s="85"/>
      <c r="O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</row>
    <row r="83" spans="1:27" s="1" customFormat="1" ht="40" customHeight="1" x14ac:dyDescent="0.55000000000000004">
      <c r="A83" s="267" t="s">
        <v>143</v>
      </c>
      <c r="B83" s="267"/>
      <c r="C83" s="267"/>
      <c r="D83" s="220">
        <v>1</v>
      </c>
      <c r="E83" s="220">
        <v>400</v>
      </c>
      <c r="F83" s="264">
        <f>E83/CHOOSE($O$2,1,$F$5,$I$5,$K$5)</f>
        <v>400</v>
      </c>
      <c r="G83" s="265"/>
      <c r="H83" s="220">
        <v>22</v>
      </c>
      <c r="I83" s="301">
        <v>0</v>
      </c>
      <c r="J83" s="301"/>
      <c r="K83" s="159" t="s">
        <v>73</v>
      </c>
      <c r="L83" s="85"/>
      <c r="N83" s="149"/>
      <c r="O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</row>
    <row r="84" spans="1:27" s="1" customFormat="1" ht="40" customHeight="1" x14ac:dyDescent="0.55000000000000004">
      <c r="A84" s="267" t="s">
        <v>144</v>
      </c>
      <c r="B84" s="267"/>
      <c r="C84" s="267"/>
      <c r="D84" s="220">
        <v>2</v>
      </c>
      <c r="E84" s="220">
        <v>500</v>
      </c>
      <c r="F84" s="264">
        <f>E84/CHOOSE($O$2,1,$F$5,$I$5,$K$5)</f>
        <v>500</v>
      </c>
      <c r="G84" s="265"/>
      <c r="H84" s="220">
        <v>15</v>
      </c>
      <c r="I84" s="266"/>
      <c r="J84" s="266"/>
      <c r="K84" s="159"/>
      <c r="L84" s="85"/>
      <c r="M84" s="183"/>
      <c r="N84" s="149"/>
      <c r="O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</row>
    <row r="85" spans="1:27" s="1" customFormat="1" ht="40" customHeight="1" x14ac:dyDescent="0.55000000000000004">
      <c r="A85" s="267" t="s">
        <v>145</v>
      </c>
      <c r="B85" s="267"/>
      <c r="C85" s="267"/>
      <c r="D85" s="220">
        <v>2</v>
      </c>
      <c r="E85" s="220">
        <v>200</v>
      </c>
      <c r="F85" s="264">
        <f>E85/CHOOSE($O$2,1,$F$5,$I$5,$K$5)</f>
        <v>200</v>
      </c>
      <c r="G85" s="265"/>
      <c r="H85" s="220">
        <v>15</v>
      </c>
      <c r="I85" s="266"/>
      <c r="J85" s="266"/>
      <c r="K85" s="159"/>
      <c r="L85" s="85"/>
      <c r="M85" s="183"/>
      <c r="N85" s="149"/>
      <c r="O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</row>
    <row r="86" spans="1:27" ht="25.8" customHeight="1" x14ac:dyDescent="0.7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85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</row>
    <row r="87" spans="1:27" ht="34.200000000000003" customHeight="1" x14ac:dyDescent="0.7">
      <c r="A87" s="168" t="str">
        <f>G7</f>
        <v>S до 600 м.кв.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85"/>
      <c r="O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</row>
    <row r="88" spans="1:27" ht="34.200000000000003" customHeight="1" x14ac:dyDescent="0.6">
      <c r="A88" s="299" t="s">
        <v>66</v>
      </c>
      <c r="B88" s="299"/>
      <c r="C88" s="299"/>
      <c r="D88" s="300" t="s">
        <v>120</v>
      </c>
      <c r="E88" s="321" t="str">
        <f>E81</f>
        <v>Фиксированный оклад в день</v>
      </c>
      <c r="F88" s="322"/>
      <c r="G88" s="323"/>
      <c r="H88" s="324" t="str">
        <f>H81</f>
        <v>Количество рабочих дней в месяц у каждого сотрудника, дней</v>
      </c>
      <c r="I88" s="299" t="s">
        <v>89</v>
      </c>
      <c r="J88" s="299"/>
      <c r="K88" s="299" t="s">
        <v>90</v>
      </c>
      <c r="L88" s="85"/>
      <c r="O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</row>
    <row r="89" spans="1:27" ht="45.9" customHeight="1" x14ac:dyDescent="0.6">
      <c r="A89" s="299"/>
      <c r="B89" s="299"/>
      <c r="C89" s="299"/>
      <c r="D89" s="300"/>
      <c r="E89" s="222" t="str">
        <f>E82</f>
        <v>UAH/день</v>
      </c>
      <c r="F89" s="321" t="str">
        <f>F82</f>
        <v>В валюте, в которой производиться расчет, UAH/день</v>
      </c>
      <c r="G89" s="323"/>
      <c r="H89" s="325"/>
      <c r="I89" s="299"/>
      <c r="J89" s="299"/>
      <c r="K89" s="299"/>
      <c r="L89" s="85"/>
      <c r="O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</row>
    <row r="90" spans="1:27" s="1" customFormat="1" ht="40" customHeight="1" x14ac:dyDescent="0.55000000000000004">
      <c r="A90" s="267" t="s">
        <v>143</v>
      </c>
      <c r="B90" s="267"/>
      <c r="C90" s="267"/>
      <c r="D90" s="220">
        <v>1</v>
      </c>
      <c r="E90" s="220">
        <v>400</v>
      </c>
      <c r="F90" s="264">
        <f>E90/CHOOSE($O$2,1,$F$5,$I$5,$K$5)</f>
        <v>400</v>
      </c>
      <c r="G90" s="265"/>
      <c r="H90" s="220">
        <v>22</v>
      </c>
      <c r="I90" s="301">
        <v>0</v>
      </c>
      <c r="J90" s="301"/>
      <c r="K90" s="159" t="s">
        <v>73</v>
      </c>
      <c r="L90" s="85"/>
      <c r="N90" s="149"/>
      <c r="O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</row>
    <row r="91" spans="1:27" s="1" customFormat="1" ht="40" customHeight="1" x14ac:dyDescent="0.55000000000000004">
      <c r="A91" s="267" t="s">
        <v>144</v>
      </c>
      <c r="B91" s="267"/>
      <c r="C91" s="267"/>
      <c r="D91" s="220">
        <v>2</v>
      </c>
      <c r="E91" s="220">
        <v>500</v>
      </c>
      <c r="F91" s="264">
        <f>E91/CHOOSE($O$2,1,$F$5,$I$5,$K$5)</f>
        <v>500</v>
      </c>
      <c r="G91" s="265"/>
      <c r="H91" s="220">
        <v>15</v>
      </c>
      <c r="I91" s="266"/>
      <c r="J91" s="266"/>
      <c r="K91" s="159" t="s">
        <v>73</v>
      </c>
      <c r="L91" s="85"/>
      <c r="M91" s="183"/>
      <c r="N91" s="149"/>
      <c r="O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</row>
    <row r="92" spans="1:27" s="1" customFormat="1" ht="40" customHeight="1" x14ac:dyDescent="0.55000000000000004">
      <c r="A92" s="267" t="s">
        <v>145</v>
      </c>
      <c r="B92" s="267"/>
      <c r="C92" s="267"/>
      <c r="D92" s="220">
        <v>2</v>
      </c>
      <c r="E92" s="220">
        <v>250</v>
      </c>
      <c r="F92" s="264">
        <f>E92/CHOOSE($O$2,1,$F$5,$I$5,$K$5)</f>
        <v>250</v>
      </c>
      <c r="G92" s="265"/>
      <c r="H92" s="220">
        <v>15</v>
      </c>
      <c r="I92" s="266"/>
      <c r="J92" s="266"/>
      <c r="K92" s="159" t="s">
        <v>73</v>
      </c>
      <c r="L92" s="85"/>
      <c r="M92" s="183"/>
      <c r="N92" s="149"/>
      <c r="O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</row>
    <row r="93" spans="1:27" s="1" customFormat="1" ht="40" customHeight="1" x14ac:dyDescent="0.55000000000000004">
      <c r="A93" s="267"/>
      <c r="B93" s="267"/>
      <c r="C93" s="267"/>
      <c r="D93" s="182"/>
      <c r="E93" s="220"/>
      <c r="F93" s="264">
        <f>E93/CHOOSE($O$2,1,$F$5,$I$5,$K$5)</f>
        <v>0</v>
      </c>
      <c r="G93" s="265"/>
      <c r="H93" s="220"/>
      <c r="I93" s="266"/>
      <c r="J93" s="266"/>
      <c r="K93" s="159" t="s">
        <v>73</v>
      </c>
      <c r="L93" s="85"/>
      <c r="M93" s="183"/>
      <c r="N93" s="149"/>
      <c r="O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</row>
    <row r="94" spans="1:27" s="1" customFormat="1" ht="40" customHeight="1" x14ac:dyDescent="0.55000000000000004">
      <c r="A94" s="267"/>
      <c r="B94" s="267"/>
      <c r="C94" s="267"/>
      <c r="D94" s="182"/>
      <c r="E94" s="220"/>
      <c r="F94" s="264">
        <f>E94/CHOOSE($O$2,1,$F$5,$I$5,$K$5)</f>
        <v>0</v>
      </c>
      <c r="G94" s="265"/>
      <c r="H94" s="220"/>
      <c r="I94" s="266"/>
      <c r="J94" s="266"/>
      <c r="K94" s="159" t="s">
        <v>73</v>
      </c>
      <c r="L94" s="85"/>
      <c r="M94" s="183"/>
      <c r="N94" s="149"/>
      <c r="O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</row>
    <row r="95" spans="1:27" ht="25.8" customHeight="1" x14ac:dyDescent="0.7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</row>
    <row r="96" spans="1:27" ht="34.200000000000003" customHeight="1" x14ac:dyDescent="0.7">
      <c r="A96" s="168" t="str">
        <f>I67</f>
        <v>S от 600 м.кв.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85"/>
      <c r="O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</row>
    <row r="97" spans="1:27" ht="34.200000000000003" customHeight="1" x14ac:dyDescent="0.6">
      <c r="A97" s="299" t="s">
        <v>66</v>
      </c>
      <c r="B97" s="299"/>
      <c r="C97" s="299"/>
      <c r="D97" s="300" t="s">
        <v>120</v>
      </c>
      <c r="E97" s="321" t="str">
        <f>E88</f>
        <v>Фиксированный оклад в день</v>
      </c>
      <c r="F97" s="322"/>
      <c r="G97" s="323"/>
      <c r="H97" s="324" t="str">
        <f>H88</f>
        <v>Количество рабочих дней в месяц у каждого сотрудника, дней</v>
      </c>
      <c r="I97" s="299" t="s">
        <v>89</v>
      </c>
      <c r="J97" s="299"/>
      <c r="K97" s="299" t="s">
        <v>90</v>
      </c>
      <c r="L97" s="85"/>
      <c r="O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</row>
    <row r="98" spans="1:27" ht="45.9" customHeight="1" x14ac:dyDescent="0.6">
      <c r="A98" s="299"/>
      <c r="B98" s="299"/>
      <c r="C98" s="299"/>
      <c r="D98" s="300"/>
      <c r="E98" s="223" t="str">
        <f>E89</f>
        <v>UAH/день</v>
      </c>
      <c r="F98" s="321" t="str">
        <f>F89</f>
        <v>В валюте, в которой производиться расчет, UAH/день</v>
      </c>
      <c r="G98" s="323"/>
      <c r="H98" s="325"/>
      <c r="I98" s="299"/>
      <c r="J98" s="299"/>
      <c r="K98" s="299"/>
      <c r="L98" s="85"/>
      <c r="O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</row>
    <row r="99" spans="1:27" s="1" customFormat="1" ht="40" customHeight="1" x14ac:dyDescent="0.55000000000000004">
      <c r="A99" s="267" t="s">
        <v>143</v>
      </c>
      <c r="B99" s="267"/>
      <c r="C99" s="267"/>
      <c r="D99" s="220">
        <v>1</v>
      </c>
      <c r="E99" s="220">
        <v>400</v>
      </c>
      <c r="F99" s="264">
        <f>E99/CHOOSE($O$2,1,$F$5,$I$5,$K$5)</f>
        <v>400</v>
      </c>
      <c r="G99" s="265"/>
      <c r="H99" s="220">
        <v>22</v>
      </c>
      <c r="I99" s="301">
        <v>0</v>
      </c>
      <c r="J99" s="301"/>
      <c r="K99" s="159" t="s">
        <v>73</v>
      </c>
      <c r="L99" s="85"/>
      <c r="N99" s="149"/>
      <c r="O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</row>
    <row r="100" spans="1:27" s="1" customFormat="1" ht="40" customHeight="1" x14ac:dyDescent="0.55000000000000004">
      <c r="A100" s="267" t="s">
        <v>144</v>
      </c>
      <c r="B100" s="267"/>
      <c r="C100" s="267"/>
      <c r="D100" s="220">
        <v>2</v>
      </c>
      <c r="E100" s="220">
        <v>500</v>
      </c>
      <c r="F100" s="264">
        <f>E100/CHOOSE($O$2,1,$F$5,$I$5,$K$5)</f>
        <v>500</v>
      </c>
      <c r="G100" s="265"/>
      <c r="H100" s="220">
        <v>15</v>
      </c>
      <c r="I100" s="266"/>
      <c r="J100" s="266"/>
      <c r="K100" s="159" t="s">
        <v>73</v>
      </c>
      <c r="L100" s="85"/>
      <c r="M100" s="183"/>
      <c r="N100" s="149"/>
      <c r="O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</row>
    <row r="101" spans="1:27" s="1" customFormat="1" ht="40" customHeight="1" x14ac:dyDescent="0.55000000000000004">
      <c r="A101" s="267" t="s">
        <v>145</v>
      </c>
      <c r="B101" s="267"/>
      <c r="C101" s="267"/>
      <c r="D101" s="220">
        <v>1</v>
      </c>
      <c r="E101" s="220">
        <v>250</v>
      </c>
      <c r="F101" s="264">
        <f>E101/CHOOSE($O$2,1,$F$5,$I$5,$K$5)</f>
        <v>250</v>
      </c>
      <c r="G101" s="265"/>
      <c r="H101" s="220">
        <v>15</v>
      </c>
      <c r="I101" s="266"/>
      <c r="J101" s="266"/>
      <c r="K101" s="159" t="s">
        <v>73</v>
      </c>
      <c r="L101" s="85"/>
      <c r="M101" s="183"/>
      <c r="N101" s="149"/>
      <c r="O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</row>
    <row r="102" spans="1:27" s="1" customFormat="1" ht="40" customHeight="1" x14ac:dyDescent="0.55000000000000004">
      <c r="A102" s="267"/>
      <c r="B102" s="267"/>
      <c r="C102" s="267"/>
      <c r="D102" s="220"/>
      <c r="E102" s="220"/>
      <c r="F102" s="264">
        <f>E102/CHOOSE($O$2,1,$F$5,$I$5,$K$5)</f>
        <v>0</v>
      </c>
      <c r="G102" s="265"/>
      <c r="H102" s="220"/>
      <c r="I102" s="266"/>
      <c r="J102" s="266"/>
      <c r="K102" s="159" t="s">
        <v>73</v>
      </c>
      <c r="L102" s="85"/>
      <c r="M102" s="183"/>
      <c r="N102" s="149"/>
      <c r="O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</row>
    <row r="103" spans="1:27" s="1" customFormat="1" ht="40" customHeight="1" x14ac:dyDescent="0.55000000000000004">
      <c r="A103" s="267"/>
      <c r="B103" s="267"/>
      <c r="C103" s="267"/>
      <c r="D103" s="220"/>
      <c r="E103" s="220"/>
      <c r="F103" s="264">
        <f>E103/CHOOSE($O$2,1,$F$5,$I$5,$K$5)</f>
        <v>0</v>
      </c>
      <c r="G103" s="265"/>
      <c r="H103" s="220"/>
      <c r="I103" s="266"/>
      <c r="J103" s="266"/>
      <c r="K103" s="159" t="s">
        <v>73</v>
      </c>
      <c r="L103" s="85"/>
      <c r="M103" s="183"/>
      <c r="N103" s="149"/>
      <c r="O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</row>
    <row r="104" spans="1:27" ht="25.8" customHeight="1" x14ac:dyDescent="0.7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</row>
    <row r="105" spans="1:27" ht="42" customHeight="1" x14ac:dyDescent="0.55000000000000004">
      <c r="A105" s="77" t="s">
        <v>1</v>
      </c>
      <c r="D105" s="165"/>
      <c r="E105" s="165"/>
      <c r="H105" s="295"/>
      <c r="I105" s="295"/>
      <c r="J105" s="295"/>
      <c r="K105" s="295"/>
    </row>
    <row r="106" spans="1:27" ht="42" customHeight="1" x14ac:dyDescent="0.55000000000000004">
      <c r="D106" s="339" t="s">
        <v>91</v>
      </c>
      <c r="E106" s="339"/>
      <c r="F106" s="339"/>
      <c r="G106" s="339"/>
      <c r="H106" s="339"/>
      <c r="I106" s="339"/>
      <c r="J106" s="339"/>
      <c r="K106" s="339"/>
    </row>
    <row r="107" spans="1:27" ht="42" customHeight="1" x14ac:dyDescent="0.55000000000000004">
      <c r="A107" s="164"/>
      <c r="D107" s="268" t="str">
        <f>A80</f>
        <v>S до 300 м.кв.</v>
      </c>
      <c r="E107" s="269"/>
      <c r="F107" s="268" t="str">
        <f>A87</f>
        <v>S до 600 м.кв.</v>
      </c>
      <c r="G107" s="270"/>
      <c r="H107" s="269"/>
      <c r="I107" s="268" t="str">
        <f>A96</f>
        <v>S от 600 м.кв.</v>
      </c>
      <c r="J107" s="270"/>
      <c r="K107" s="269"/>
    </row>
    <row r="108" spans="1:27" ht="58.8" customHeight="1" x14ac:dyDescent="0.55000000000000004">
      <c r="A108" s="77"/>
      <c r="D108" s="233" t="s">
        <v>129</v>
      </c>
      <c r="E108" s="233" t="str">
        <f>"В валюте, в которой производиться расчет, "&amp;CHOOSE($O$2,$P$2,$P$3,$P$4,$P$5)&amp;"/мес.*"</f>
        <v>В валюте, в которой производиться расчет, UAH/мес.*</v>
      </c>
      <c r="F108" s="233" t="str">
        <f>D108</f>
        <v>UAH/мес.* или %</v>
      </c>
      <c r="G108" s="260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H108" s="261"/>
      <c r="I108" s="233" t="str">
        <f>F108</f>
        <v>UAH/мес.* или %</v>
      </c>
      <c r="J108" s="260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108" s="261"/>
    </row>
    <row r="109" spans="1:27" ht="43" customHeight="1" x14ac:dyDescent="0.55000000000000004">
      <c r="A109" s="2"/>
      <c r="B109" s="262" t="s">
        <v>77</v>
      </c>
      <c r="C109" s="263"/>
      <c r="D109" s="235">
        <v>0</v>
      </c>
      <c r="E109" s="234">
        <f>D109/CHOOSE($O$2,1,$F$5,$I$5,$K$5)</f>
        <v>0</v>
      </c>
      <c r="F109" s="235">
        <v>0</v>
      </c>
      <c r="G109" s="256">
        <f>F109/CHOOSE($O$2,1,$F$5,$I$5,$K$5)</f>
        <v>0</v>
      </c>
      <c r="H109" s="257"/>
      <c r="I109" s="235">
        <v>0</v>
      </c>
      <c r="J109" s="256">
        <f>I109/CHOOSE($O$2,1,$F$5,$I$5,$K$5)</f>
        <v>0</v>
      </c>
      <c r="K109" s="257"/>
      <c r="O109" s="97"/>
    </row>
    <row r="110" spans="1:27" ht="43" customHeight="1" x14ac:dyDescent="0.55000000000000004">
      <c r="A110" s="121"/>
      <c r="B110" s="319" t="s">
        <v>88</v>
      </c>
      <c r="C110" s="320"/>
      <c r="D110" s="239">
        <v>0.1</v>
      </c>
      <c r="E110" s="234"/>
      <c r="F110" s="239">
        <v>0.1</v>
      </c>
      <c r="G110" s="258"/>
      <c r="H110" s="259"/>
      <c r="I110" s="239">
        <v>0.1</v>
      </c>
      <c r="J110" s="258"/>
      <c r="K110" s="259"/>
    </row>
    <row r="111" spans="1:27" ht="43" customHeight="1" x14ac:dyDescent="0.55000000000000004">
      <c r="A111" s="121"/>
      <c r="B111" s="296" t="s">
        <v>94</v>
      </c>
      <c r="C111" s="297"/>
      <c r="D111" s="239">
        <v>0</v>
      </c>
      <c r="E111" s="234"/>
      <c r="F111" s="239">
        <v>0</v>
      </c>
      <c r="G111" s="258"/>
      <c r="H111" s="259"/>
      <c r="I111" s="239">
        <v>0</v>
      </c>
      <c r="J111" s="258"/>
      <c r="K111" s="259"/>
    </row>
    <row r="112" spans="1:27" s="2" customFormat="1" ht="43" customHeight="1" x14ac:dyDescent="0.6">
      <c r="A112" s="83"/>
      <c r="B112" s="304" t="s">
        <v>58</v>
      </c>
      <c r="C112" s="305"/>
      <c r="D112" s="235">
        <v>20000</v>
      </c>
      <c r="E112" s="234">
        <f t="shared" ref="E112:E120" si="13">D112/CHOOSE($O$2,1,$F$5,$I$5,$K$5)</f>
        <v>20000</v>
      </c>
      <c r="F112" s="235">
        <v>40000</v>
      </c>
      <c r="G112" s="256">
        <f t="shared" ref="G112:G120" si="14">F112/CHOOSE($O$2,1,$F$5,$I$5,$K$5)</f>
        <v>40000</v>
      </c>
      <c r="H112" s="257"/>
      <c r="I112" s="235">
        <v>90000</v>
      </c>
      <c r="J112" s="256">
        <f t="shared" ref="J112:J120" si="15">I112/CHOOSE($O$2,1,$F$5,$I$5,$K$5)</f>
        <v>90000</v>
      </c>
      <c r="K112" s="257"/>
      <c r="L112" s="85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</row>
    <row r="113" spans="1:28" ht="43" customHeight="1" x14ac:dyDescent="0.55000000000000004">
      <c r="A113" s="83"/>
      <c r="B113" s="304" t="s">
        <v>59</v>
      </c>
      <c r="C113" s="305"/>
      <c r="D113" s="235">
        <v>2000</v>
      </c>
      <c r="E113" s="234">
        <f t="shared" si="13"/>
        <v>2000</v>
      </c>
      <c r="F113" s="235">
        <v>3000</v>
      </c>
      <c r="G113" s="256">
        <f t="shared" si="14"/>
        <v>3000</v>
      </c>
      <c r="H113" s="257"/>
      <c r="I113" s="235">
        <v>3000</v>
      </c>
      <c r="J113" s="256">
        <f t="shared" si="15"/>
        <v>3000</v>
      </c>
      <c r="K113" s="257"/>
      <c r="M113" s="1"/>
    </row>
    <row r="114" spans="1:28" ht="43" customHeight="1" x14ac:dyDescent="0.55000000000000004">
      <c r="A114" s="2"/>
      <c r="B114" s="262" t="s">
        <v>50</v>
      </c>
      <c r="C114" s="263"/>
      <c r="D114" s="235"/>
      <c r="E114" s="234">
        <f t="shared" si="13"/>
        <v>0</v>
      </c>
      <c r="F114" s="235"/>
      <c r="G114" s="256">
        <f t="shared" si="14"/>
        <v>0</v>
      </c>
      <c r="H114" s="257"/>
      <c r="I114" s="235"/>
      <c r="J114" s="256">
        <f t="shared" si="15"/>
        <v>0</v>
      </c>
      <c r="K114" s="257"/>
      <c r="M114" s="1"/>
    </row>
    <row r="115" spans="1:28" ht="43" customHeight="1" x14ac:dyDescent="0.55000000000000004">
      <c r="A115" s="83"/>
      <c r="B115" s="262" t="s">
        <v>131</v>
      </c>
      <c r="C115" s="263"/>
      <c r="D115" s="235"/>
      <c r="E115" s="234">
        <f t="shared" si="13"/>
        <v>0</v>
      </c>
      <c r="F115" s="235"/>
      <c r="G115" s="256">
        <f t="shared" si="14"/>
        <v>0</v>
      </c>
      <c r="H115" s="257"/>
      <c r="I115" s="235"/>
      <c r="J115" s="256">
        <f t="shared" si="15"/>
        <v>0</v>
      </c>
      <c r="K115" s="257"/>
      <c r="M115" s="1"/>
    </row>
    <row r="116" spans="1:28" ht="43" customHeight="1" x14ac:dyDescent="0.55000000000000004">
      <c r="A116" s="2"/>
      <c r="B116" s="307" t="s">
        <v>67</v>
      </c>
      <c r="C116" s="307"/>
      <c r="D116" s="235">
        <v>5000</v>
      </c>
      <c r="E116" s="234">
        <f t="shared" si="13"/>
        <v>5000</v>
      </c>
      <c r="F116" s="235">
        <v>7000</v>
      </c>
      <c r="G116" s="256">
        <f t="shared" si="14"/>
        <v>7000</v>
      </c>
      <c r="H116" s="257"/>
      <c r="I116" s="235">
        <v>7000</v>
      </c>
      <c r="J116" s="256">
        <f t="shared" si="15"/>
        <v>7000</v>
      </c>
      <c r="K116" s="257"/>
    </row>
    <row r="117" spans="1:28" ht="43" customHeight="1" x14ac:dyDescent="0.55000000000000004">
      <c r="A117" s="2"/>
      <c r="B117" s="262" t="s">
        <v>71</v>
      </c>
      <c r="C117" s="263"/>
      <c r="D117" s="235">
        <v>800</v>
      </c>
      <c r="E117" s="234">
        <f t="shared" si="13"/>
        <v>800</v>
      </c>
      <c r="F117" s="235">
        <v>1000</v>
      </c>
      <c r="G117" s="256">
        <f t="shared" si="14"/>
        <v>1000</v>
      </c>
      <c r="H117" s="257"/>
      <c r="I117" s="235">
        <v>1000</v>
      </c>
      <c r="J117" s="256">
        <f t="shared" si="15"/>
        <v>1000</v>
      </c>
      <c r="K117" s="257"/>
    </row>
    <row r="118" spans="1:28" ht="43" customHeight="1" x14ac:dyDescent="0.6">
      <c r="A118" s="2"/>
      <c r="B118" s="262" t="s">
        <v>68</v>
      </c>
      <c r="C118" s="263"/>
      <c r="D118" s="235">
        <v>800</v>
      </c>
      <c r="E118" s="234">
        <f t="shared" si="13"/>
        <v>800</v>
      </c>
      <c r="F118" s="235">
        <v>800</v>
      </c>
      <c r="G118" s="256">
        <f t="shared" si="14"/>
        <v>800</v>
      </c>
      <c r="H118" s="257"/>
      <c r="I118" s="235">
        <v>800</v>
      </c>
      <c r="J118" s="256">
        <f t="shared" si="15"/>
        <v>800</v>
      </c>
      <c r="K118" s="257"/>
      <c r="L118" s="86"/>
      <c r="M118" s="83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</row>
    <row r="119" spans="1:28" ht="43" customHeight="1" x14ac:dyDescent="0.6">
      <c r="A119" s="2"/>
      <c r="B119" s="262" t="s">
        <v>101</v>
      </c>
      <c r="C119" s="263"/>
      <c r="D119" s="235"/>
      <c r="E119" s="234">
        <f t="shared" si="13"/>
        <v>0</v>
      </c>
      <c r="F119" s="235"/>
      <c r="G119" s="256">
        <f t="shared" si="14"/>
        <v>0</v>
      </c>
      <c r="H119" s="257"/>
      <c r="I119" s="235"/>
      <c r="J119" s="256">
        <f t="shared" si="15"/>
        <v>0</v>
      </c>
      <c r="K119" s="257"/>
      <c r="L119" s="86"/>
      <c r="M119" s="83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</row>
    <row r="120" spans="1:28" ht="43" customHeight="1" x14ac:dyDescent="0.55000000000000004">
      <c r="A120" s="2"/>
      <c r="B120" s="262" t="s">
        <v>78</v>
      </c>
      <c r="C120" s="263"/>
      <c r="D120" s="235">
        <v>200</v>
      </c>
      <c r="E120" s="234">
        <f t="shared" si="13"/>
        <v>200</v>
      </c>
      <c r="F120" s="235">
        <v>200</v>
      </c>
      <c r="G120" s="256">
        <f t="shared" si="14"/>
        <v>200</v>
      </c>
      <c r="H120" s="257"/>
      <c r="I120" s="235">
        <v>200</v>
      </c>
      <c r="J120" s="256">
        <f t="shared" si="15"/>
        <v>200</v>
      </c>
      <c r="K120" s="257"/>
    </row>
    <row r="121" spans="1:28" ht="49.5" customHeight="1" x14ac:dyDescent="0.55000000000000004">
      <c r="A121" s="2"/>
      <c r="B121" s="262" t="s">
        <v>93</v>
      </c>
      <c r="C121" s="263"/>
      <c r="D121" s="242"/>
      <c r="E121" s="233" t="s">
        <v>105</v>
      </c>
      <c r="F121" s="242"/>
      <c r="G121" s="260" t="str">
        <f>E121</f>
        <v>% от выручки, который проходит по безналичному расчету</v>
      </c>
      <c r="H121" s="261"/>
      <c r="I121" s="242"/>
      <c r="J121" s="260" t="str">
        <f>G121</f>
        <v>% от выручки, который проходит по безналичному расчету</v>
      </c>
      <c r="K121" s="261"/>
    </row>
    <row r="122" spans="1:28" ht="42" customHeight="1" x14ac:dyDescent="0.6">
      <c r="A122" s="2"/>
      <c r="B122" s="262"/>
      <c r="C122" s="263"/>
      <c r="D122" s="239"/>
      <c r="E122" s="233" t="s">
        <v>106</v>
      </c>
      <c r="F122" s="239"/>
      <c r="G122" s="260" t="str">
        <f>E122</f>
        <v>размер банковской комиссии</v>
      </c>
      <c r="H122" s="261"/>
      <c r="I122" s="239"/>
      <c r="J122" s="260" t="str">
        <f>G122</f>
        <v>размер банковской комиссии</v>
      </c>
      <c r="K122" s="261"/>
      <c r="L122" s="86"/>
      <c r="M122" s="83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</row>
    <row r="123" spans="1:28" ht="43" customHeight="1" x14ac:dyDescent="0.55000000000000004">
      <c r="A123" s="2"/>
      <c r="B123" s="262" t="s">
        <v>151</v>
      </c>
      <c r="C123" s="263"/>
      <c r="D123" s="239"/>
      <c r="E123" s="240"/>
      <c r="F123" s="239"/>
      <c r="G123" s="258"/>
      <c r="H123" s="259"/>
      <c r="I123" s="239"/>
      <c r="J123" s="258"/>
      <c r="K123" s="259"/>
    </row>
    <row r="124" spans="1:28" s="83" customFormat="1" ht="26.1" customHeight="1" x14ac:dyDescent="0.55000000000000004">
      <c r="B124" s="196" t="s">
        <v>102</v>
      </c>
      <c r="C124" s="178"/>
      <c r="D124" s="241"/>
      <c r="E124" s="241"/>
      <c r="F124" s="241"/>
      <c r="G124" s="340"/>
      <c r="H124" s="340"/>
      <c r="I124" s="241"/>
      <c r="J124" s="340"/>
      <c r="K124" s="340"/>
    </row>
    <row r="125" spans="1:28" ht="43" customHeight="1" x14ac:dyDescent="0.55000000000000004">
      <c r="A125" s="2"/>
      <c r="B125" s="262" t="s">
        <v>152</v>
      </c>
      <c r="C125" s="263"/>
      <c r="D125" s="235"/>
      <c r="E125" s="234">
        <f>D125/CHOOSE($O$2,1,$F$5,$I$5,$K$5)</f>
        <v>0</v>
      </c>
      <c r="F125" s="235"/>
      <c r="G125" s="256">
        <f>F125/CHOOSE($O$2,1,$F$5,$I$5,$K$5)</f>
        <v>0</v>
      </c>
      <c r="H125" s="257"/>
      <c r="I125" s="235"/>
      <c r="J125" s="256">
        <f>I125/CHOOSE($O$2,1,$F$5,$I$5,$K$5)</f>
        <v>0</v>
      </c>
      <c r="K125" s="257"/>
    </row>
    <row r="126" spans="1:28" ht="43" customHeight="1" x14ac:dyDescent="0.55000000000000004">
      <c r="A126" s="2"/>
      <c r="B126" s="262" t="s">
        <v>44</v>
      </c>
      <c r="C126" s="263"/>
      <c r="D126" s="235"/>
      <c r="E126" s="234">
        <f>D126/CHOOSE($O$2,1,$F$5,$I$5,$K$5)</f>
        <v>0</v>
      </c>
      <c r="F126" s="235"/>
      <c r="G126" s="256">
        <f>F126/CHOOSE($O$2,1,$F$5,$I$5,$K$5)</f>
        <v>0</v>
      </c>
      <c r="H126" s="257"/>
      <c r="I126" s="235"/>
      <c r="J126" s="256">
        <f>I126/CHOOSE($O$2,1,$F$5,$I$5,$K$5)</f>
        <v>0</v>
      </c>
      <c r="K126" s="257"/>
    </row>
    <row r="127" spans="1:28" ht="43" customHeight="1" x14ac:dyDescent="0.55000000000000004">
      <c r="A127" s="2"/>
      <c r="B127" s="262" t="s">
        <v>2</v>
      </c>
      <c r="C127" s="263"/>
      <c r="D127" s="235"/>
      <c r="E127" s="234">
        <f>D127/CHOOSE($O$2,1,$F$5,$I$5,$K$5)</f>
        <v>0</v>
      </c>
      <c r="F127" s="235"/>
      <c r="G127" s="256">
        <f>F127/CHOOSE($O$2,1,$F$5,$I$5,$K$5)</f>
        <v>0</v>
      </c>
      <c r="H127" s="257"/>
      <c r="I127" s="235"/>
      <c r="J127" s="256">
        <f>I127/CHOOSE($O$2,1,$F$5,$I$5,$K$5)</f>
        <v>0</v>
      </c>
      <c r="K127" s="257"/>
    </row>
    <row r="128" spans="1:28" ht="45.9" customHeight="1" x14ac:dyDescent="0.55000000000000004">
      <c r="A128" s="294" t="s">
        <v>153</v>
      </c>
      <c r="B128" s="294"/>
      <c r="C128" s="294"/>
      <c r="D128" s="294"/>
      <c r="E128" s="294"/>
      <c r="F128" s="294"/>
      <c r="G128" s="294"/>
      <c r="H128" s="294"/>
      <c r="I128" s="294"/>
      <c r="J128" s="294"/>
      <c r="K128" s="294"/>
    </row>
  </sheetData>
  <sheetProtection formatCells="0" formatColumns="0" formatRows="0" insertColumns="0" insertRows="0" insertHyperlinks="0" deleteColumns="0" deleteRows="0" sort="0" autoFilter="0" pivotTables="0"/>
  <mergeCells count="325">
    <mergeCell ref="G121:H121"/>
    <mergeCell ref="G122:H122"/>
    <mergeCell ref="G123:H123"/>
    <mergeCell ref="G124:H124"/>
    <mergeCell ref="G125:H125"/>
    <mergeCell ref="G126:H126"/>
    <mergeCell ref="G127:H127"/>
    <mergeCell ref="J115:K115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J127:K127"/>
    <mergeCell ref="G120:H120"/>
    <mergeCell ref="G118:H118"/>
    <mergeCell ref="G119:H119"/>
    <mergeCell ref="G116:H116"/>
    <mergeCell ref="J74:K74"/>
    <mergeCell ref="J75:K75"/>
    <mergeCell ref="J76:K76"/>
    <mergeCell ref="J77:K77"/>
    <mergeCell ref="G74:H74"/>
    <mergeCell ref="G75:H75"/>
    <mergeCell ref="G76:H76"/>
    <mergeCell ref="G77:H77"/>
    <mergeCell ref="D106:K106"/>
    <mergeCell ref="F82:G82"/>
    <mergeCell ref="F83:G83"/>
    <mergeCell ref="F84:G84"/>
    <mergeCell ref="F85:G85"/>
    <mergeCell ref="H81:H82"/>
    <mergeCell ref="E81:G81"/>
    <mergeCell ref="F89:G89"/>
    <mergeCell ref="H88:H89"/>
    <mergeCell ref="E88:G88"/>
    <mergeCell ref="I91:J91"/>
    <mergeCell ref="A104:K104"/>
    <mergeCell ref="A99:C99"/>
    <mergeCell ref="F99:G99"/>
    <mergeCell ref="I99:J99"/>
    <mergeCell ref="A100:C100"/>
    <mergeCell ref="G69:H69"/>
    <mergeCell ref="J68:K68"/>
    <mergeCell ref="J69:K69"/>
    <mergeCell ref="J70:K70"/>
    <mergeCell ref="J71:K71"/>
    <mergeCell ref="J72:K72"/>
    <mergeCell ref="J73:K73"/>
    <mergeCell ref="D67:E67"/>
    <mergeCell ref="F67:H67"/>
    <mergeCell ref="I67:K67"/>
    <mergeCell ref="G70:H70"/>
    <mergeCell ref="G71:H71"/>
    <mergeCell ref="G72:H72"/>
    <mergeCell ref="G73:H73"/>
    <mergeCell ref="F100:G100"/>
    <mergeCell ref="A17:B17"/>
    <mergeCell ref="A15:B15"/>
    <mergeCell ref="A92:C92"/>
    <mergeCell ref="A83:C83"/>
    <mergeCell ref="A84:C84"/>
    <mergeCell ref="A85:C85"/>
    <mergeCell ref="A81:C82"/>
    <mergeCell ref="A20:B20"/>
    <mergeCell ref="A18:B18"/>
    <mergeCell ref="G47:K47"/>
    <mergeCell ref="A49:C49"/>
    <mergeCell ref="A50:C50"/>
    <mergeCell ref="A51:C51"/>
    <mergeCell ref="A52:C52"/>
    <mergeCell ref="A53:C53"/>
    <mergeCell ref="A54:C54"/>
    <mergeCell ref="A55:C55"/>
    <mergeCell ref="A56:C56"/>
    <mergeCell ref="G68:H68"/>
    <mergeCell ref="A88:C89"/>
    <mergeCell ref="D88:D89"/>
    <mergeCell ref="I88:J89"/>
    <mergeCell ref="F90:G90"/>
    <mergeCell ref="F91:G91"/>
    <mergeCell ref="J114:K114"/>
    <mergeCell ref="I92:J92"/>
    <mergeCell ref="A93:C93"/>
    <mergeCell ref="I93:J93"/>
    <mergeCell ref="A94:C94"/>
    <mergeCell ref="I94:J94"/>
    <mergeCell ref="F92:G92"/>
    <mergeCell ref="F93:G93"/>
    <mergeCell ref="F94:G94"/>
    <mergeCell ref="B110:C110"/>
    <mergeCell ref="A95:K95"/>
    <mergeCell ref="A97:C98"/>
    <mergeCell ref="D97:D98"/>
    <mergeCell ref="E97:G97"/>
    <mergeCell ref="H97:H98"/>
    <mergeCell ref="I97:J98"/>
    <mergeCell ref="K97:K98"/>
    <mergeCell ref="F98:G98"/>
    <mergeCell ref="I100:J100"/>
    <mergeCell ref="A101:C101"/>
    <mergeCell ref="F101:G101"/>
    <mergeCell ref="I101:J101"/>
    <mergeCell ref="A102:C102"/>
    <mergeCell ref="I7:K7"/>
    <mergeCell ref="A61:K61"/>
    <mergeCell ref="A65:K65"/>
    <mergeCell ref="A62:B62"/>
    <mergeCell ref="D62:E62"/>
    <mergeCell ref="D63:E63"/>
    <mergeCell ref="D64:E64"/>
    <mergeCell ref="J62:K62"/>
    <mergeCell ref="J63:K64"/>
    <mergeCell ref="A63:B63"/>
    <mergeCell ref="A64:B64"/>
    <mergeCell ref="D13:E13"/>
    <mergeCell ref="D14:E14"/>
    <mergeCell ref="A16:B16"/>
    <mergeCell ref="A13:B13"/>
    <mergeCell ref="A7:C7"/>
    <mergeCell ref="D15:E15"/>
    <mergeCell ref="D16:E16"/>
    <mergeCell ref="D7:F7"/>
    <mergeCell ref="G7:H7"/>
    <mergeCell ref="D20:E20"/>
    <mergeCell ref="H20:I20"/>
    <mergeCell ref="J18:K18"/>
    <mergeCell ref="J19:K19"/>
    <mergeCell ref="A1:K1"/>
    <mergeCell ref="A78:K78"/>
    <mergeCell ref="B126:C126"/>
    <mergeCell ref="B118:C118"/>
    <mergeCell ref="B112:C112"/>
    <mergeCell ref="B114:C114"/>
    <mergeCell ref="B123:C123"/>
    <mergeCell ref="A2:K2"/>
    <mergeCell ref="B117:C117"/>
    <mergeCell ref="B70:C70"/>
    <mergeCell ref="B116:C116"/>
    <mergeCell ref="B113:C113"/>
    <mergeCell ref="B109:C109"/>
    <mergeCell ref="B72:C72"/>
    <mergeCell ref="I83:J83"/>
    <mergeCell ref="B77:C77"/>
    <mergeCell ref="B75:C75"/>
    <mergeCell ref="B121:C122"/>
    <mergeCell ref="A5:D5"/>
    <mergeCell ref="B74:C74"/>
    <mergeCell ref="B73:C73"/>
    <mergeCell ref="G5:H5"/>
    <mergeCell ref="A14:B14"/>
    <mergeCell ref="B71:C71"/>
    <mergeCell ref="J20:K20"/>
    <mergeCell ref="A128:K128"/>
    <mergeCell ref="B119:C119"/>
    <mergeCell ref="B127:C127"/>
    <mergeCell ref="B120:C120"/>
    <mergeCell ref="B69:C69"/>
    <mergeCell ref="H105:K105"/>
    <mergeCell ref="B125:C125"/>
    <mergeCell ref="B111:C111"/>
    <mergeCell ref="A86:K86"/>
    <mergeCell ref="K81:K82"/>
    <mergeCell ref="B76:C76"/>
    <mergeCell ref="D81:D82"/>
    <mergeCell ref="I85:J85"/>
    <mergeCell ref="I84:J84"/>
    <mergeCell ref="I81:J82"/>
    <mergeCell ref="K88:K89"/>
    <mergeCell ref="A90:C90"/>
    <mergeCell ref="I90:J90"/>
    <mergeCell ref="A91:C91"/>
    <mergeCell ref="A23:B24"/>
    <mergeCell ref="C23:E23"/>
    <mergeCell ref="F23:F24"/>
    <mergeCell ref="G23:G24"/>
    <mergeCell ref="D19:E19"/>
    <mergeCell ref="C11:E11"/>
    <mergeCell ref="F11:F12"/>
    <mergeCell ref="A11:B12"/>
    <mergeCell ref="G11:G12"/>
    <mergeCell ref="H11:K11"/>
    <mergeCell ref="H12:I12"/>
    <mergeCell ref="H13:I13"/>
    <mergeCell ref="H14:I14"/>
    <mergeCell ref="H15:I15"/>
    <mergeCell ref="H16:I16"/>
    <mergeCell ref="H17:I17"/>
    <mergeCell ref="H18:I18"/>
    <mergeCell ref="H19:I19"/>
    <mergeCell ref="J12:K12"/>
    <mergeCell ref="J13:K13"/>
    <mergeCell ref="J14:K14"/>
    <mergeCell ref="J15:K15"/>
    <mergeCell ref="J16:K16"/>
    <mergeCell ref="J17:K17"/>
    <mergeCell ref="A19:B19"/>
    <mergeCell ref="D17:E17"/>
    <mergeCell ref="D18:E18"/>
    <mergeCell ref="D12:E12"/>
    <mergeCell ref="H23:K23"/>
    <mergeCell ref="D24:E24"/>
    <mergeCell ref="H24:I24"/>
    <mergeCell ref="J24:K24"/>
    <mergeCell ref="A25:B25"/>
    <mergeCell ref="D25:E25"/>
    <mergeCell ref="H25:I25"/>
    <mergeCell ref="J25:K25"/>
    <mergeCell ref="A26:B26"/>
    <mergeCell ref="D26:E26"/>
    <mergeCell ref="H26:I26"/>
    <mergeCell ref="J26:K26"/>
    <mergeCell ref="A27:B27"/>
    <mergeCell ref="D27:E27"/>
    <mergeCell ref="H27:I27"/>
    <mergeCell ref="J27:K27"/>
    <mergeCell ref="A28:B28"/>
    <mergeCell ref="D28:E28"/>
    <mergeCell ref="H28:I28"/>
    <mergeCell ref="J28:K28"/>
    <mergeCell ref="A29:B29"/>
    <mergeCell ref="D29:E29"/>
    <mergeCell ref="H29:I29"/>
    <mergeCell ref="J29:K29"/>
    <mergeCell ref="A30:B30"/>
    <mergeCell ref="D30:E30"/>
    <mergeCell ref="H30:I30"/>
    <mergeCell ref="J30:K30"/>
    <mergeCell ref="A31:B31"/>
    <mergeCell ref="D31:E31"/>
    <mergeCell ref="H31:I31"/>
    <mergeCell ref="J31:K31"/>
    <mergeCell ref="A32:B32"/>
    <mergeCell ref="D32:E32"/>
    <mergeCell ref="H32:I32"/>
    <mergeCell ref="J32:K32"/>
    <mergeCell ref="A35:B36"/>
    <mergeCell ref="C35:E35"/>
    <mergeCell ref="F35:F36"/>
    <mergeCell ref="G35:G36"/>
    <mergeCell ref="H35:K35"/>
    <mergeCell ref="D36:E36"/>
    <mergeCell ref="H36:I36"/>
    <mergeCell ref="J36:K36"/>
    <mergeCell ref="A37:B37"/>
    <mergeCell ref="D37:E37"/>
    <mergeCell ref="H37:I37"/>
    <mergeCell ref="J37:K37"/>
    <mergeCell ref="A38:B38"/>
    <mergeCell ref="D38:E38"/>
    <mergeCell ref="H38:I38"/>
    <mergeCell ref="J38:K38"/>
    <mergeCell ref="A39:B39"/>
    <mergeCell ref="D39:E39"/>
    <mergeCell ref="H39:I39"/>
    <mergeCell ref="J39:K39"/>
    <mergeCell ref="A40:B40"/>
    <mergeCell ref="D40:E40"/>
    <mergeCell ref="H40:I40"/>
    <mergeCell ref="J40:K40"/>
    <mergeCell ref="A41:B41"/>
    <mergeCell ref="D41:E41"/>
    <mergeCell ref="H41:I41"/>
    <mergeCell ref="J41:K41"/>
    <mergeCell ref="A42:B42"/>
    <mergeCell ref="D42:E42"/>
    <mergeCell ref="H42:I42"/>
    <mergeCell ref="J42:K42"/>
    <mergeCell ref="A43:B43"/>
    <mergeCell ref="D43:E43"/>
    <mergeCell ref="H43:I43"/>
    <mergeCell ref="J43:K43"/>
    <mergeCell ref="A44:B44"/>
    <mergeCell ref="D44:E44"/>
    <mergeCell ref="H44:I44"/>
    <mergeCell ref="J44:K44"/>
    <mergeCell ref="D47:F47"/>
    <mergeCell ref="A57:C57"/>
    <mergeCell ref="A58:C58"/>
    <mergeCell ref="A59:C59"/>
    <mergeCell ref="A60:C60"/>
    <mergeCell ref="A47:C48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F102:G102"/>
    <mergeCell ref="I102:J102"/>
    <mergeCell ref="A103:C103"/>
    <mergeCell ref="F103:G103"/>
    <mergeCell ref="I103:J103"/>
    <mergeCell ref="D107:E107"/>
    <mergeCell ref="I107:K107"/>
    <mergeCell ref="F107:H107"/>
    <mergeCell ref="G108:H108"/>
    <mergeCell ref="G117:H117"/>
    <mergeCell ref="G109:H109"/>
    <mergeCell ref="G110:H110"/>
    <mergeCell ref="G111:H111"/>
    <mergeCell ref="J108:K108"/>
    <mergeCell ref="J109:K109"/>
    <mergeCell ref="J110:K110"/>
    <mergeCell ref="J111:K111"/>
    <mergeCell ref="B115:C115"/>
    <mergeCell ref="J113:K113"/>
    <mergeCell ref="J112:K112"/>
    <mergeCell ref="G112:H112"/>
    <mergeCell ref="G113:H113"/>
    <mergeCell ref="G114:H114"/>
    <mergeCell ref="G115:H1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5" orientation="portrait" r:id="rId1"/>
  <rowBreaks count="2" manualBreakCount="2">
    <brk id="45" max="10" man="1"/>
    <brk id="104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826770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834390</xdr:colOff>
                    <xdr:row>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dimension ref="A1:Z68"/>
  <sheetViews>
    <sheetView showGridLines="0" tabSelected="1" zoomScale="70" zoomScaleNormal="70" zoomScaleSheetLayoutView="70" workbookViewId="0">
      <selection activeCell="A2" sqref="A2:D2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6.41796875" customWidth="1"/>
    <col min="4" max="4" width="23.41796875" customWidth="1"/>
    <col min="5" max="5" width="25.20703125" customWidth="1"/>
    <col min="6" max="6" width="17.734375" customWidth="1"/>
    <col min="7" max="7" width="18.83984375" customWidth="1"/>
    <col min="8" max="8" width="25" customWidth="1"/>
    <col min="9" max="9" width="19.734375" customWidth="1"/>
    <col min="10" max="10" width="30.5234375" customWidth="1"/>
    <col min="11" max="11" width="19.83984375" bestFit="1" customWidth="1"/>
    <col min="12" max="13" width="9.15625" customWidth="1"/>
    <col min="14" max="14" width="1.68359375" customWidth="1"/>
    <col min="15" max="15" width="8.68359375" customWidth="1"/>
    <col min="16" max="16" width="1.7890625" customWidth="1"/>
    <col min="17" max="17" width="19.578125" customWidth="1"/>
    <col min="18" max="18" width="11.7890625" bestFit="1" customWidth="1"/>
    <col min="19" max="19" width="8.83984375" customWidth="1"/>
  </cols>
  <sheetData>
    <row r="1" spans="1:24" ht="59.4" customHeight="1" x14ac:dyDescent="0.55000000000000004">
      <c r="A1" s="306" t="s">
        <v>134</v>
      </c>
      <c r="B1" s="306"/>
      <c r="C1" s="306"/>
      <c r="D1" s="306"/>
      <c r="E1" s="306"/>
      <c r="F1" s="306"/>
      <c r="G1" s="306"/>
      <c r="H1" s="306"/>
      <c r="I1" s="306"/>
      <c r="J1" s="306"/>
      <c r="K1" s="255" t="s">
        <v>163</v>
      </c>
      <c r="L1" s="200">
        <f>D59</f>
        <v>42061.428571428558</v>
      </c>
      <c r="M1" s="201">
        <f>I59</f>
        <v>0.25788736095296477</v>
      </c>
      <c r="N1" s="76">
        <v>2</v>
      </c>
      <c r="O1" s="82" t="str">
        <f>'Исходные данные'!D7</f>
        <v>S до 300 м.кв.</v>
      </c>
      <c r="P1" s="94">
        <v>1</v>
      </c>
      <c r="Q1" s="82" t="s">
        <v>149</v>
      </c>
      <c r="R1" s="82"/>
      <c r="S1" s="94"/>
    </row>
    <row r="2" spans="1:24" ht="34.200000000000003" customHeight="1" x14ac:dyDescent="0.55000000000000004">
      <c r="A2" s="365" t="s">
        <v>49</v>
      </c>
      <c r="B2" s="365"/>
      <c r="C2" s="365"/>
      <c r="D2" s="365"/>
      <c r="E2" s="162" t="str">
        <f>CHOOSE('Исходные данные'!$O$2,'Исходные данные'!$P$2,'Исходные данные'!$P$3,'Исходные данные'!$P$4,'Исходные данные'!$P$5)</f>
        <v>UAH</v>
      </c>
      <c r="F2" s="366"/>
      <c r="G2" s="366"/>
      <c r="H2" s="366"/>
      <c r="J2" s="73"/>
      <c r="K2" s="255" t="s">
        <v>164</v>
      </c>
      <c r="L2" s="200">
        <f>D61</f>
        <v>62003.714285714283</v>
      </c>
      <c r="M2" s="201">
        <f>I61</f>
        <v>0.31679804969197978</v>
      </c>
      <c r="N2" s="82"/>
      <c r="O2" s="82" t="str">
        <f>'Исходные данные'!G7</f>
        <v>S до 600 м.кв.</v>
      </c>
      <c r="P2" s="94"/>
      <c r="Q2" s="82" t="s">
        <v>148</v>
      </c>
      <c r="R2" s="82"/>
      <c r="S2" s="94"/>
    </row>
    <row r="3" spans="1:24" ht="34.200000000000003" customHeight="1" x14ac:dyDescent="0.55000000000000004">
      <c r="A3" s="140" t="s">
        <v>23</v>
      </c>
      <c r="B3" s="81"/>
      <c r="E3" s="162" t="str">
        <f>CHOOSE('Исходные данные'!$Q$2,'Исходные данные'!$R$2,'Исходные данные'!$R$3,'Исходные данные'!$R$4,'Исходные данные'!$R$5,'Исходные данные'!$R$6,'Исходные данные'!$R$7,'Исходные данные'!#REF!,'Исходные данные'!$R$9,'Исходные данные'!$R$10,'Исходные данные'!$R$11,'Исходные данные'!$R$12,'Исходные данные'!$R$13)</f>
        <v>январь</v>
      </c>
      <c r="J3" s="73"/>
      <c r="K3" s="255" t="s">
        <v>165</v>
      </c>
      <c r="L3" s="200">
        <f>D63</f>
        <v>81946</v>
      </c>
      <c r="M3" s="201">
        <f>I63</f>
        <v>0.35887711307699049</v>
      </c>
      <c r="N3" s="82"/>
      <c r="O3" s="82" t="str">
        <f>'Исходные данные'!I7</f>
        <v>S от 600 м.кв.</v>
      </c>
      <c r="P3" s="94"/>
    </row>
    <row r="4" spans="1:24" ht="34.200000000000003" customHeight="1" x14ac:dyDescent="0.55000000000000004">
      <c r="A4" s="367" t="s">
        <v>86</v>
      </c>
      <c r="B4" s="367"/>
      <c r="C4" s="367"/>
      <c r="E4" s="163"/>
      <c r="F4" s="366" t="s">
        <v>154</v>
      </c>
      <c r="G4" s="366"/>
      <c r="H4" s="366"/>
      <c r="J4" s="73"/>
      <c r="K4" s="255" t="s">
        <v>166</v>
      </c>
      <c r="L4" s="200">
        <f>D65</f>
        <v>1</v>
      </c>
      <c r="M4" s="202"/>
      <c r="N4" s="82"/>
      <c r="O4" s="82"/>
      <c r="P4" s="94"/>
    </row>
    <row r="5" spans="1:24" ht="17.7" customHeight="1" x14ac:dyDescent="0.55000000000000004">
      <c r="A5" s="77"/>
      <c r="E5" s="2"/>
      <c r="K5" s="255" t="s">
        <v>167</v>
      </c>
      <c r="L5" s="200">
        <f>D67</f>
        <v>31</v>
      </c>
      <c r="M5" s="202"/>
      <c r="O5" s="82"/>
      <c r="P5" s="94"/>
    </row>
    <row r="6" spans="1:24" ht="34.200000000000003" customHeight="1" x14ac:dyDescent="0.55000000000000004">
      <c r="A6" s="77" t="s">
        <v>51</v>
      </c>
      <c r="K6" s="255" t="s">
        <v>168</v>
      </c>
      <c r="L6" s="200">
        <f>D24</f>
        <v>224000</v>
      </c>
      <c r="M6" s="202"/>
      <c r="O6" s="82"/>
      <c r="P6" s="94"/>
    </row>
    <row r="7" spans="1:24" s="1" customFormat="1" ht="47.4" customHeight="1" x14ac:dyDescent="0.55000000000000004">
      <c r="A7" s="293" t="s">
        <v>135</v>
      </c>
      <c r="B7" s="293"/>
      <c r="C7" s="293"/>
      <c r="D7" s="283" t="str">
        <f>"Стоимость абонемента, "&amp;CHOOSE('Исходные данные'!$O$2,'Исходные данные'!$P$2,'Исходные данные'!$P$3,'Исходные данные'!$P$4,'Исходные данные'!$P$5)&amp;"/шт."</f>
        <v>Стоимость абонемента, UAH/шт.</v>
      </c>
      <c r="E7" s="283"/>
      <c r="F7" s="283" t="s">
        <v>138</v>
      </c>
      <c r="G7" s="283"/>
      <c r="H7" s="228" t="s">
        <v>139</v>
      </c>
      <c r="I7" s="283" t="str">
        <f>"Плановая среднемесячная выручка, "&amp;CHOOSE('Исходные данные'!$O$2,'Исходные данные'!$P$2,'Исходные данные'!$P$3,'Исходные данные'!$P$4,'Исходные данные'!$P$5)&amp;"/мес.*"</f>
        <v>Плановая среднемесячная выручка, UAH/мес.*</v>
      </c>
      <c r="J7" s="283"/>
      <c r="K7" s="255" t="s">
        <v>169</v>
      </c>
      <c r="L7" s="200">
        <f>D26-D24</f>
        <v>1680000</v>
      </c>
      <c r="O7" s="68"/>
      <c r="P7" s="95"/>
      <c r="Q7" s="94"/>
      <c r="R7" s="71"/>
    </row>
    <row r="8" spans="1:24" s="1" customFormat="1" ht="35.4" customHeight="1" x14ac:dyDescent="0.55000000000000004">
      <c r="A8" s="344" t="str">
        <f>CHOOSE($N$1,'Исходные данные'!A13,'Исходные данные'!A25,'Исходные данные'!A37)</f>
        <v>Утренний абонемент (7:00-17:00)</v>
      </c>
      <c r="B8" s="344"/>
      <c r="C8" s="344"/>
      <c r="D8" s="272">
        <f>CHOOSE($N$1,'Исходные данные'!D13,'Исходные данные'!D25,'Исходные данные'!D37)</f>
        <v>330</v>
      </c>
      <c r="E8" s="272"/>
      <c r="F8" s="272">
        <f>CHOOSE($N$1,'Исходные данные'!F13,'Исходные данные'!F25,'Исходные данные'!F37)</f>
        <v>153</v>
      </c>
      <c r="G8" s="272"/>
      <c r="H8" s="245"/>
      <c r="I8" s="272">
        <f>D8*F8</f>
        <v>50490</v>
      </c>
      <c r="J8" s="272"/>
      <c r="K8"/>
      <c r="L8" s="68"/>
      <c r="O8" s="68"/>
      <c r="P8" s="95"/>
      <c r="Q8" s="94"/>
      <c r="R8" s="95"/>
      <c r="S8" s="95"/>
      <c r="T8" s="95"/>
      <c r="U8" s="95"/>
      <c r="V8" s="95"/>
      <c r="W8" s="95"/>
    </row>
    <row r="9" spans="1:24" ht="35.4" customHeight="1" x14ac:dyDescent="0.55000000000000004">
      <c r="A9" s="344" t="str">
        <f>CHOOSE($N$1,'Исходные данные'!A14,'Исходные данные'!A26,'Исходные данные'!A38)</f>
        <v>Дневной абонемент (12:00-15:00)</v>
      </c>
      <c r="B9" s="344"/>
      <c r="C9" s="344"/>
      <c r="D9" s="272">
        <f>CHOOSE($N$1,'Исходные данные'!D14,'Исходные данные'!D26,'Исходные данные'!D38)</f>
        <v>250</v>
      </c>
      <c r="E9" s="272"/>
      <c r="F9" s="272">
        <f>CHOOSE($N$1,'Исходные данные'!F14,'Исходные данные'!F26,'Исходные данные'!F38)</f>
        <v>19</v>
      </c>
      <c r="G9" s="272"/>
      <c r="H9" s="245"/>
      <c r="I9" s="272">
        <f t="shared" ref="I9:I13" si="0">D9*F9</f>
        <v>4750</v>
      </c>
      <c r="J9" s="272"/>
      <c r="L9" s="78"/>
      <c r="O9" s="94"/>
      <c r="P9" s="72"/>
      <c r="Q9" s="95"/>
      <c r="R9" s="95"/>
      <c r="S9" s="95"/>
      <c r="T9" s="95"/>
      <c r="U9" s="95"/>
      <c r="V9" s="95"/>
      <c r="W9" s="95"/>
      <c r="X9" s="1"/>
    </row>
    <row r="10" spans="1:24" ht="35.4" customHeight="1" x14ac:dyDescent="0.55000000000000004">
      <c r="A10" s="344" t="str">
        <f>CHOOSE($N$1,'Исходные данные'!A15,'Исходные данные'!A27,'Исходные данные'!A39)</f>
        <v>Безлим.абонемент (7:00-23:00)</v>
      </c>
      <c r="B10" s="344"/>
      <c r="C10" s="344"/>
      <c r="D10" s="272">
        <f>CHOOSE($N$1,'Исходные данные'!D15,'Исходные данные'!D27,'Исходные данные'!D39)</f>
        <v>420</v>
      </c>
      <c r="E10" s="272"/>
      <c r="F10" s="272">
        <f>CHOOSE($N$1,'Исходные данные'!F15,'Исходные данные'!F27,'Исходные данные'!F39)</f>
        <v>173</v>
      </c>
      <c r="G10" s="272"/>
      <c r="H10" s="245"/>
      <c r="I10" s="272">
        <f t="shared" si="0"/>
        <v>72660</v>
      </c>
      <c r="J10" s="272"/>
      <c r="M10" s="156"/>
      <c r="Q10" s="95"/>
      <c r="R10" s="95"/>
      <c r="S10" s="95"/>
      <c r="T10" s="95"/>
      <c r="U10" s="95"/>
      <c r="V10" s="95"/>
      <c r="W10" s="95"/>
      <c r="X10" s="1"/>
    </row>
    <row r="11" spans="1:24" ht="35.4" customHeight="1" x14ac:dyDescent="0.55000000000000004">
      <c r="A11" s="344" t="str">
        <f>CHOOSE($N$1,'Исходные данные'!A16,'Исходные данные'!A28,'Исходные данные'!A40)</f>
        <v>5 разовый абонемент</v>
      </c>
      <c r="B11" s="344"/>
      <c r="C11" s="344"/>
      <c r="D11" s="272">
        <f>CHOOSE($N$1,'Исходные данные'!D16,'Исходные данные'!D28,'Исходные данные'!D40)</f>
        <v>200</v>
      </c>
      <c r="E11" s="272"/>
      <c r="F11" s="272">
        <f>CHOOSE($N$1,'Исходные данные'!F16,'Исходные данные'!F28,'Исходные данные'!F40)</f>
        <v>26</v>
      </c>
      <c r="G11" s="272"/>
      <c r="H11" s="245"/>
      <c r="I11" s="272">
        <f t="shared" si="0"/>
        <v>5200</v>
      </c>
      <c r="J11" s="272"/>
      <c r="M11" s="156"/>
      <c r="Q11" s="95"/>
      <c r="R11" s="95"/>
      <c r="S11" s="95"/>
      <c r="T11" s="95"/>
      <c r="U11" s="95"/>
      <c r="V11" s="95"/>
      <c r="W11" s="95"/>
      <c r="X11" s="1"/>
    </row>
    <row r="12" spans="1:24" s="1" customFormat="1" ht="35.4" customHeight="1" x14ac:dyDescent="0.55000000000000004">
      <c r="A12" s="344">
        <f>CHOOSE($N$1,'Исходные данные'!A17,'Исходные данные'!A29,'Исходные данные'!A41)</f>
        <v>0</v>
      </c>
      <c r="B12" s="344"/>
      <c r="C12" s="344"/>
      <c r="D12" s="272">
        <f>CHOOSE($N$1,'Исходные данные'!D17,'Исходные данные'!D29,'Исходные данные'!D41)</f>
        <v>0</v>
      </c>
      <c r="E12" s="272"/>
      <c r="F12" s="272">
        <f>CHOOSE($N$1,'Исходные данные'!F17,'Исходные данные'!F29,'Исходные данные'!F41)</f>
        <v>0</v>
      </c>
      <c r="G12" s="272"/>
      <c r="H12" s="245"/>
      <c r="I12" s="272">
        <f t="shared" si="0"/>
        <v>0</v>
      </c>
      <c r="J12" s="272"/>
      <c r="K12"/>
      <c r="L12" s="68"/>
      <c r="O12" s="68"/>
      <c r="P12" s="95"/>
      <c r="Q12" s="95"/>
      <c r="R12" s="95"/>
      <c r="S12" s="95"/>
      <c r="T12" s="95"/>
      <c r="U12" s="95"/>
      <c r="V12" s="95"/>
      <c r="W12" s="95"/>
    </row>
    <row r="13" spans="1:24" s="1" customFormat="1" ht="35.4" customHeight="1" x14ac:dyDescent="0.55000000000000004">
      <c r="A13" s="344">
        <f>CHOOSE($N$1,'Исходные данные'!A18,'Исходные данные'!A30,'Исходные данные'!A42)</f>
        <v>0</v>
      </c>
      <c r="B13" s="344"/>
      <c r="C13" s="344"/>
      <c r="D13" s="272">
        <f>CHOOSE($N$1,'Исходные данные'!D18,'Исходные данные'!D30,'Исходные данные'!D42)</f>
        <v>0</v>
      </c>
      <c r="E13" s="272"/>
      <c r="F13" s="272">
        <f>CHOOSE($N$1,'Исходные данные'!F18,'Исходные данные'!F30,'Исходные данные'!F42)</f>
        <v>0</v>
      </c>
      <c r="G13" s="272"/>
      <c r="H13" s="245"/>
      <c r="I13" s="272">
        <f t="shared" si="0"/>
        <v>0</v>
      </c>
      <c r="J13" s="272"/>
      <c r="K13"/>
      <c r="L13" s="68"/>
      <c r="O13" s="68"/>
      <c r="P13" s="95"/>
      <c r="Q13" s="95"/>
      <c r="R13" s="95"/>
      <c r="S13" s="95"/>
      <c r="T13" s="95"/>
      <c r="U13" s="95"/>
      <c r="V13" s="95"/>
      <c r="W13" s="95"/>
    </row>
    <row r="14" spans="1:24" s="1" customFormat="1" ht="35.4" customHeight="1" x14ac:dyDescent="0.55000000000000004">
      <c r="A14" s="344" t="str">
        <f>CHOOSE($N$1,'Исходные данные'!A19,'Исходные данные'!A31,'Исходные данные'!A43)</f>
        <v>Доп. Услуги</v>
      </c>
      <c r="B14" s="344"/>
      <c r="C14" s="344"/>
      <c r="D14" s="272"/>
      <c r="E14" s="272"/>
      <c r="F14" s="272"/>
      <c r="G14" s="272"/>
      <c r="H14" s="245">
        <f>CHOOSE($N$1,'Исходные данные'!G19,'Исходные данные'!G31,'Исходные данные'!G43)</f>
        <v>0.4</v>
      </c>
      <c r="I14" s="272">
        <f>CHOOSE($N$1,'Исходные данные'!H19,'Исходные данные'!H31,'Исходные данные'!H43)</f>
        <v>30000</v>
      </c>
      <c r="J14" s="272"/>
      <c r="K14"/>
      <c r="L14" s="68"/>
      <c r="O14" s="68"/>
      <c r="P14" s="95"/>
      <c r="Q14" s="95"/>
      <c r="R14" s="95"/>
      <c r="S14" s="95"/>
      <c r="T14" s="95"/>
      <c r="U14" s="95"/>
      <c r="V14" s="95"/>
      <c r="W14" s="95"/>
    </row>
    <row r="15" spans="1:24" ht="35.049999999999997" customHeight="1" x14ac:dyDescent="0.55000000000000004">
      <c r="A15" s="271" t="s">
        <v>3</v>
      </c>
      <c r="B15" s="271"/>
      <c r="C15" s="271"/>
      <c r="D15" s="272"/>
      <c r="E15" s="272"/>
      <c r="F15" s="272"/>
      <c r="G15" s="272"/>
      <c r="H15" s="229"/>
      <c r="I15" s="272">
        <f>SUM(I8:J14)</f>
        <v>163100</v>
      </c>
      <c r="J15" s="272"/>
      <c r="M15" s="156"/>
      <c r="Q15" s="95"/>
      <c r="R15" s="95"/>
      <c r="S15" s="95"/>
      <c r="T15" s="95"/>
      <c r="U15" s="95"/>
      <c r="V15" s="95"/>
      <c r="W15" s="95"/>
      <c r="X15" s="1"/>
    </row>
    <row r="16" spans="1:24" ht="34.200000000000003" customHeight="1" x14ac:dyDescent="0.55000000000000004">
      <c r="A16" s="368" t="s">
        <v>150</v>
      </c>
      <c r="B16" s="368"/>
      <c r="C16" s="368"/>
      <c r="D16" s="368"/>
      <c r="E16" s="368"/>
      <c r="F16" s="368"/>
      <c r="G16" s="368"/>
      <c r="H16" s="368"/>
      <c r="I16" s="368"/>
      <c r="J16" s="368"/>
    </row>
    <row r="17" spans="1:26" ht="34.200000000000003" customHeight="1" x14ac:dyDescent="0.55000000000000004">
      <c r="A17" s="167" t="s">
        <v>56</v>
      </c>
      <c r="G17" s="4"/>
      <c r="H17" s="4"/>
      <c r="I17" s="4"/>
    </row>
    <row r="18" spans="1:26" ht="42" customHeight="1" x14ac:dyDescent="0.6">
      <c r="A18" s="83"/>
      <c r="B18" s="262" t="str">
        <f>'Исходные данные'!B69:C69</f>
        <v>Ремонт помещения</v>
      </c>
      <c r="C18" s="262"/>
      <c r="D18" s="330">
        <f>CHOOSE($N$1,'Исходные данные'!E69,'Исходные данные'!G69,'Исходные данные'!J69)</f>
        <v>1680000</v>
      </c>
      <c r="E18" s="330"/>
      <c r="F18" s="330"/>
      <c r="G18" s="330"/>
      <c r="H18" s="330"/>
      <c r="I18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18" s="250"/>
      <c r="K18" s="85"/>
      <c r="N18" s="84"/>
      <c r="O18" s="84"/>
      <c r="Q18" s="84"/>
      <c r="R18" s="84"/>
      <c r="S18" s="84"/>
      <c r="T18" s="84"/>
      <c r="U18" s="84"/>
      <c r="V18" s="84"/>
      <c r="W18" s="84"/>
      <c r="X18" s="84"/>
      <c r="Y18" s="84"/>
    </row>
    <row r="19" spans="1:26" ht="42" customHeight="1" x14ac:dyDescent="0.6">
      <c r="A19" s="83"/>
      <c r="B19" s="262" t="str">
        <f>'Исходные данные'!B70:C70</f>
        <v>Мебель</v>
      </c>
      <c r="C19" s="263"/>
      <c r="D19" s="330">
        <f>CHOOSE($N$1,'Исходные данные'!E70,'Исходные данные'!G70,'Исходные данные'!J70)</f>
        <v>0</v>
      </c>
      <c r="E19" s="330"/>
      <c r="F19" s="330"/>
      <c r="G19" s="330"/>
      <c r="H19" s="330"/>
      <c r="I19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19" s="250"/>
      <c r="K19" s="85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 spans="1:26" ht="42" customHeight="1" x14ac:dyDescent="0.6">
      <c r="A20" s="83"/>
      <c r="B20" s="262" t="str">
        <f>'Исходные данные'!B71:C71</f>
        <v>Оборудование</v>
      </c>
      <c r="C20" s="263"/>
      <c r="D20" s="330">
        <f>CHOOSE($N$1,'Исходные данные'!E71,'Исходные данные'!G71,'Исходные данные'!J71)</f>
        <v>0</v>
      </c>
      <c r="E20" s="330"/>
      <c r="F20" s="330"/>
      <c r="G20" s="330"/>
      <c r="H20" s="330"/>
      <c r="I20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0" s="250"/>
      <c r="K20" s="85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</row>
    <row r="21" spans="1:26" ht="42" customHeight="1" x14ac:dyDescent="0.6">
      <c r="A21" s="139"/>
      <c r="B21" s="262" t="s">
        <v>57</v>
      </c>
      <c r="C21" s="263"/>
      <c r="D21" s="330">
        <f>CHOOSE($N$1,'Исходные данные'!E72,'Исходные данные'!G72,'Исходные данные'!J72)</f>
        <v>0</v>
      </c>
      <c r="E21" s="330"/>
      <c r="F21" s="330"/>
      <c r="G21" s="330"/>
      <c r="H21" s="330"/>
      <c r="I21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1" s="250"/>
      <c r="K21" s="85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</row>
    <row r="22" spans="1:26" ht="42" customHeight="1" x14ac:dyDescent="0.6">
      <c r="A22" s="139"/>
      <c r="B22" s="262" t="s">
        <v>55</v>
      </c>
      <c r="C22" s="263"/>
      <c r="D22" s="330">
        <f>CHOOSE($N$1,'Исходные данные'!E73,'Исходные данные'!G73,'Исходные данные'!J73)</f>
        <v>0</v>
      </c>
      <c r="E22" s="330"/>
      <c r="F22" s="330"/>
      <c r="G22" s="330"/>
      <c r="H22" s="330"/>
      <c r="I22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2" s="250"/>
      <c r="K22" s="85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</row>
    <row r="23" spans="1:26" ht="42" customHeight="1" x14ac:dyDescent="0.6">
      <c r="A23" s="83"/>
      <c r="B23" s="262" t="s">
        <v>64</v>
      </c>
      <c r="C23" s="263"/>
      <c r="D23" s="330">
        <f>CHOOSE($N$1,'Исходные данные'!E74,'Исходные данные'!G74,'Исходные данные'!J74)</f>
        <v>0</v>
      </c>
      <c r="E23" s="330"/>
      <c r="F23" s="330"/>
      <c r="G23" s="330"/>
      <c r="H23" s="330"/>
      <c r="I23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3" s="250"/>
      <c r="K23" s="85"/>
      <c r="N23" s="84"/>
      <c r="O23" s="84"/>
      <c r="Q23" s="84"/>
      <c r="R23" s="84"/>
      <c r="S23" s="84"/>
      <c r="T23" s="84"/>
      <c r="U23" s="84"/>
      <c r="V23" s="84"/>
      <c r="W23" s="84"/>
      <c r="X23" s="84"/>
      <c r="Y23" s="84"/>
    </row>
    <row r="24" spans="1:26" ht="42" customHeight="1" x14ac:dyDescent="0.6">
      <c r="A24" s="83"/>
      <c r="B24" s="262" t="s">
        <v>22</v>
      </c>
      <c r="C24" s="263"/>
      <c r="D24" s="330">
        <f>CHOOSE($N$1,'Исходные данные'!E75,'Исходные данные'!G75,'Исходные данные'!J75)</f>
        <v>224000</v>
      </c>
      <c r="E24" s="330"/>
      <c r="F24" s="330"/>
      <c r="G24" s="330"/>
      <c r="H24" s="330"/>
      <c r="I24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4" s="250"/>
      <c r="K24" s="85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</row>
    <row r="25" spans="1:26" ht="42" customHeight="1" x14ac:dyDescent="0.6">
      <c r="A25" s="83"/>
      <c r="B25" s="262" t="s">
        <v>2</v>
      </c>
      <c r="C25" s="263"/>
      <c r="D25" s="330">
        <f>CHOOSE($N$1,'Исходные данные'!E76,'Исходные данные'!G76,'Исходные данные'!J76)</f>
        <v>0</v>
      </c>
      <c r="E25" s="330"/>
      <c r="F25" s="330"/>
      <c r="G25" s="330"/>
      <c r="H25" s="330"/>
      <c r="I25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5" s="250"/>
      <c r="K25" s="85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</row>
    <row r="26" spans="1:26" ht="42" customHeight="1" x14ac:dyDescent="0.6">
      <c r="A26" s="83"/>
      <c r="B26" s="308" t="s">
        <v>0</v>
      </c>
      <c r="C26" s="345"/>
      <c r="D26" s="348">
        <f>SUM(D18:H25)</f>
        <v>1904000</v>
      </c>
      <c r="E26" s="348"/>
      <c r="F26" s="348"/>
      <c r="G26" s="348"/>
      <c r="H26" s="348"/>
      <c r="I26" s="250" t="str">
        <f>""&amp;CHOOSE('Исходные данные'!$O$2,'Исходные данные'!$P$2,'Исходные данные'!$P$3,'Исходные данные'!$P$4,'Исходные данные'!$P$5)&amp;""</f>
        <v>UAH</v>
      </c>
      <c r="J26" s="250"/>
      <c r="K26" s="85"/>
      <c r="L26" s="97"/>
      <c r="N26" s="84"/>
      <c r="P26" s="84"/>
      <c r="Q26" s="84"/>
      <c r="R26" s="84"/>
      <c r="S26" s="84"/>
      <c r="T26" s="84"/>
      <c r="U26" s="84"/>
      <c r="V26" s="84"/>
      <c r="W26" s="84"/>
      <c r="X26" s="84"/>
      <c r="Y26" s="84"/>
    </row>
    <row r="27" spans="1:26" ht="34.200000000000003" customHeight="1" x14ac:dyDescent="0.7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85"/>
      <c r="N27" s="84"/>
      <c r="P27" s="84"/>
      <c r="Q27" s="84"/>
      <c r="R27" s="84"/>
      <c r="S27" s="84"/>
      <c r="T27" s="84"/>
      <c r="U27" s="84"/>
      <c r="V27" s="84"/>
      <c r="W27" s="84"/>
      <c r="X27" s="84"/>
      <c r="Y27" s="84"/>
    </row>
    <row r="28" spans="1:26" ht="34.200000000000003" customHeight="1" x14ac:dyDescent="0.7">
      <c r="A28" s="77" t="s">
        <v>65</v>
      </c>
      <c r="B28" s="146"/>
      <c r="C28" s="146"/>
      <c r="D28" s="146"/>
      <c r="E28" s="146"/>
      <c r="F28" s="146"/>
      <c r="G28" s="146"/>
      <c r="H28" s="146"/>
      <c r="I28" s="146"/>
      <c r="J28" s="146"/>
      <c r="K28" s="85"/>
      <c r="N28" s="84"/>
      <c r="P28" s="84"/>
      <c r="Q28" s="84"/>
      <c r="R28" s="84"/>
      <c r="S28" s="84"/>
      <c r="T28" s="84"/>
      <c r="U28" s="84"/>
      <c r="V28" s="84"/>
      <c r="W28" s="84"/>
      <c r="X28" s="84"/>
      <c r="Y28" s="84"/>
    </row>
    <row r="29" spans="1:26" ht="79.5" customHeight="1" x14ac:dyDescent="0.6">
      <c r="A29" s="299" t="s">
        <v>66</v>
      </c>
      <c r="B29" s="299"/>
      <c r="C29" s="299"/>
      <c r="D29" s="213" t="str">
        <f>'Исходные данные'!D81</f>
        <v>Количество сотрудников, чел.</v>
      </c>
      <c r="E29" s="321" t="str">
        <f>"Фиксированный оклад в день, "&amp;CHOOSE('Исходные данные'!$O$2,'Исходные данные'!$P$2,'Исходные данные'!$P$3,'Исходные данные'!$P$4,'Исходные данные'!$P$5)&amp;"/день"</f>
        <v>Фиксированный оклад в день, UAH/день</v>
      </c>
      <c r="F29" s="323"/>
      <c r="G29" s="299" t="str">
        <f>'Исходные данные'!H88</f>
        <v>Количество рабочих дней в месяц у каждого сотрудника, дней</v>
      </c>
      <c r="H29" s="299"/>
      <c r="I29" s="223" t="s">
        <v>89</v>
      </c>
      <c r="J29" s="213" t="s">
        <v>90</v>
      </c>
      <c r="L29" s="85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s="1" customFormat="1" ht="27.6" customHeight="1" x14ac:dyDescent="0.55000000000000004">
      <c r="A30" s="341" t="str">
        <f>CHOOSE($N$1,'Исходные данные'!A83,'Исходные данные'!A90,'Исходные данные'!A99)</f>
        <v>Управляющий</v>
      </c>
      <c r="B30" s="341"/>
      <c r="C30" s="341"/>
      <c r="D30" s="212">
        <f>CHOOSE($N$1,'Исходные данные'!D83,'Исходные данные'!D90,'Исходные данные'!D99)</f>
        <v>1</v>
      </c>
      <c r="E30" s="264">
        <f>CHOOSE($N$1,'Исходные данные'!F83,'Исходные данные'!F90,'Исходные данные'!F99)</f>
        <v>400</v>
      </c>
      <c r="F30" s="265"/>
      <c r="G30" s="349">
        <f>CHOOSE($N$1,'Исходные данные'!H83,'Исходные данные'!H90,'Исходные данные'!H99)</f>
        <v>22</v>
      </c>
      <c r="H30" s="349"/>
      <c r="I30" s="243">
        <f>CHOOSE($N$1,'Исходные данные'!I83,'Исходные данные'!I90,'Исходные данные'!I99)</f>
        <v>0</v>
      </c>
      <c r="J30" s="214" t="str">
        <f>CHOOSE($N$1,'Исходные данные'!K83,'Исходные данные'!K90,'Исходные данные'!K99)</f>
        <v>общая выручка</v>
      </c>
      <c r="L30" s="85"/>
      <c r="N30" s="149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s="1" customFormat="1" ht="27.6" customHeight="1" x14ac:dyDescent="0.55000000000000004">
      <c r="A31" s="341" t="str">
        <f>CHOOSE($N$1,'Исходные данные'!A84,'Исходные данные'!A91,'Исходные данные'!A100)</f>
        <v>Администратор</v>
      </c>
      <c r="B31" s="341"/>
      <c r="C31" s="341"/>
      <c r="D31" s="221">
        <f>CHOOSE($N$1,'Исходные данные'!D84,'Исходные данные'!D91,'Исходные данные'!D100)</f>
        <v>2</v>
      </c>
      <c r="E31" s="264">
        <f>CHOOSE($N$1,'Исходные данные'!F84,'Исходные данные'!F91,'Исходные данные'!F100)</f>
        <v>500</v>
      </c>
      <c r="F31" s="265"/>
      <c r="G31" s="349">
        <f>CHOOSE($N$1,'Исходные данные'!H84,'Исходные данные'!H91,'Исходные данные'!H100)</f>
        <v>15</v>
      </c>
      <c r="H31" s="349"/>
      <c r="I31" s="243"/>
      <c r="J31" s="214"/>
      <c r="L31" s="85"/>
      <c r="N31" s="149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s="1" customFormat="1" ht="27.6" customHeight="1" x14ac:dyDescent="0.55000000000000004">
      <c r="A32" s="341" t="str">
        <f>CHOOSE($N$1,'Исходные данные'!A85,'Исходные данные'!A92,'Исходные данные'!A101)</f>
        <v>Уборщица</v>
      </c>
      <c r="B32" s="341"/>
      <c r="C32" s="341"/>
      <c r="D32" s="221">
        <f>CHOOSE($N$1,'Исходные данные'!D85,'Исходные данные'!D92,'Исходные данные'!D101)</f>
        <v>2</v>
      </c>
      <c r="E32" s="264">
        <f>CHOOSE($N$1,'Исходные данные'!F85,'Исходные данные'!F92,'Исходные данные'!F101)</f>
        <v>250</v>
      </c>
      <c r="F32" s="265"/>
      <c r="G32" s="349">
        <f>CHOOSE($N$1,'Исходные данные'!H85,'Исходные данные'!H92,'Исходные данные'!H101)</f>
        <v>15</v>
      </c>
      <c r="H32" s="349"/>
      <c r="I32" s="243"/>
      <c r="J32" s="214"/>
      <c r="L32" s="85"/>
      <c r="N32" s="149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s="1" customFormat="1" ht="27.6" customHeight="1" x14ac:dyDescent="0.55000000000000004">
      <c r="A33" s="341">
        <f>CHOOSE($N$1,0,'Исходные данные'!A93,'Исходные данные'!A102)</f>
        <v>0</v>
      </c>
      <c r="B33" s="341"/>
      <c r="C33" s="341"/>
      <c r="D33" s="221">
        <f>CHOOSE($N$1,0,'Исходные данные'!D93,'Исходные данные'!D102)</f>
        <v>0</v>
      </c>
      <c r="E33" s="264">
        <f>CHOOSE($N$1,0,'Исходные данные'!F93,'Исходные данные'!F102)</f>
        <v>0</v>
      </c>
      <c r="F33" s="265"/>
      <c r="G33" s="349">
        <f>CHOOSE($N$1,0,'Исходные данные'!H93,'Исходные данные'!H102)</f>
        <v>0</v>
      </c>
      <c r="H33" s="349"/>
      <c r="I33" s="243"/>
      <c r="J33" s="214"/>
      <c r="L33" s="85"/>
      <c r="N33" s="149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s="1" customFormat="1" ht="27.6" customHeight="1" x14ac:dyDescent="0.55000000000000004">
      <c r="A34" s="341">
        <f>CHOOSE($N$1,0,'Исходные данные'!A94,'Исходные данные'!A103)</f>
        <v>0</v>
      </c>
      <c r="B34" s="341"/>
      <c r="C34" s="341"/>
      <c r="D34" s="221">
        <f>CHOOSE($N$1,0,'Исходные данные'!D94,'Исходные данные'!D103)</f>
        <v>0</v>
      </c>
      <c r="E34" s="264">
        <f>CHOOSE($N$1,0,'Исходные данные'!F94,'Исходные данные'!F103)</f>
        <v>0</v>
      </c>
      <c r="F34" s="265"/>
      <c r="G34" s="349">
        <f>CHOOSE($N$1,0,'Исходные данные'!H94,'Исходные данные'!H103)</f>
        <v>0</v>
      </c>
      <c r="H34" s="349"/>
      <c r="I34" s="243"/>
      <c r="J34" s="214"/>
      <c r="L34" s="85"/>
      <c r="N34" s="149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27.6" customHeight="1" x14ac:dyDescent="0.7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85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</row>
    <row r="36" spans="1:26" ht="34.200000000000003" customHeight="1" x14ac:dyDescent="0.55000000000000004">
      <c r="A36" s="77" t="s">
        <v>1</v>
      </c>
      <c r="L36" s="1"/>
    </row>
    <row r="37" spans="1:26" ht="22.2" customHeight="1" x14ac:dyDescent="0.55000000000000004">
      <c r="A37" s="77"/>
      <c r="D37" s="347" t="s">
        <v>74</v>
      </c>
      <c r="E37" s="347"/>
      <c r="G37" s="347" t="s">
        <v>84</v>
      </c>
      <c r="H37" s="347"/>
      <c r="I37" s="347"/>
      <c r="J37" s="165"/>
      <c r="L37" s="1"/>
    </row>
    <row r="38" spans="1:26" ht="42" customHeight="1" x14ac:dyDescent="0.55000000000000004">
      <c r="A38" s="2"/>
      <c r="B38" s="262" t="s">
        <v>132</v>
      </c>
      <c r="C38" s="263"/>
      <c r="D38" s="342">
        <f>G38/'Детальный расчет'!$P$24</f>
        <v>0.13138302531312956</v>
      </c>
      <c r="E38" s="342"/>
      <c r="G38" s="343">
        <f>'Детальный расчет'!P28</f>
        <v>21428.571428571431</v>
      </c>
      <c r="H38" s="343"/>
      <c r="I38" s="343"/>
      <c r="J38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9" spans="1:26" ht="42" customHeight="1" x14ac:dyDescent="0.55000000000000004">
      <c r="A39" s="2"/>
      <c r="B39" s="262" t="s">
        <v>45</v>
      </c>
      <c r="C39" s="263"/>
      <c r="D39" s="342">
        <f>G39/'Детальный расчет'!$P$24</f>
        <v>0.19190680564071122</v>
      </c>
      <c r="E39" s="342"/>
      <c r="G39" s="343">
        <f>'Детальный расчет'!P46</f>
        <v>31300</v>
      </c>
      <c r="H39" s="343"/>
      <c r="I39" s="343"/>
      <c r="J39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0" spans="1:26" ht="42" customHeight="1" x14ac:dyDescent="0.55000000000000004">
      <c r="A40" s="2"/>
      <c r="B40" s="262" t="s">
        <v>77</v>
      </c>
      <c r="C40" s="263"/>
      <c r="D40" s="342">
        <f>G40/'Детальный расчет'!$P$24</f>
        <v>0</v>
      </c>
      <c r="E40" s="342"/>
      <c r="G40" s="343">
        <f>CHOOSE($N$1,'Исходные данные'!E109,'Исходные данные'!G109,'Исходные данные'!J109)</f>
        <v>0</v>
      </c>
      <c r="H40" s="343"/>
      <c r="I40" s="343"/>
      <c r="J40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1" spans="1:26" ht="42" customHeight="1" x14ac:dyDescent="0.55000000000000004">
      <c r="A41" s="121"/>
      <c r="B41" s="369" t="s">
        <v>83</v>
      </c>
      <c r="C41" s="370"/>
      <c r="D41" s="342">
        <f>CHOOSE($N$1,'Исходные данные'!D110,'Исходные данные'!F110,'Исходные данные'!I110)</f>
        <v>0.1</v>
      </c>
      <c r="E41" s="342"/>
      <c r="F41" s="147"/>
      <c r="G41" s="343">
        <f>'Детальный расчет'!P48</f>
        <v>16310.000000000002</v>
      </c>
      <c r="H41" s="343"/>
      <c r="I41" s="343"/>
      <c r="J41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2" spans="1:26" ht="42" customHeight="1" x14ac:dyDescent="0.55000000000000004">
      <c r="A42" s="121"/>
      <c r="B42" s="369" t="s">
        <v>95</v>
      </c>
      <c r="C42" s="370"/>
      <c r="D42" s="342">
        <f>CHOOSE($N$1,'Исходные данные'!D111,'Исходные данные'!F111,'Исходные данные'!I111)</f>
        <v>0</v>
      </c>
      <c r="E42" s="342"/>
      <c r="F42" s="147"/>
      <c r="G42" s="343">
        <f>'Детальный расчет'!P49</f>
        <v>0</v>
      </c>
      <c r="H42" s="343"/>
      <c r="I42" s="343"/>
      <c r="J42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3" spans="1:26" ht="42" customHeight="1" x14ac:dyDescent="0.6">
      <c r="A43" s="83"/>
      <c r="B43" s="304" t="str">
        <f>'Исходные данные'!B112</f>
        <v>Аренда</v>
      </c>
      <c r="C43" s="305"/>
      <c r="D43" s="342">
        <f>G43/'Детальный расчет'!$P$24</f>
        <v>0.24524831391784183</v>
      </c>
      <c r="E43" s="342"/>
      <c r="F43" s="134"/>
      <c r="G43" s="343">
        <f>CHOOSE($N$1,'Исходные данные'!E112,'Исходные данные'!G112,'Исходные данные'!J112)</f>
        <v>40000</v>
      </c>
      <c r="H43" s="343"/>
      <c r="I43" s="343"/>
      <c r="J43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43" s="86"/>
      <c r="L43" s="83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42" customHeight="1" x14ac:dyDescent="0.6">
      <c r="A44" s="83"/>
      <c r="B44" s="304" t="str">
        <f>'Исходные данные'!B113</f>
        <v>Коммунальные платежи</v>
      </c>
      <c r="C44" s="305"/>
      <c r="D44" s="342">
        <f>G44/'Детальный расчет'!$P$24</f>
        <v>1.8393623543838136E-2</v>
      </c>
      <c r="E44" s="342"/>
      <c r="F44" s="134"/>
      <c r="G44" s="343">
        <f>CHOOSE($N$1,'Исходные данные'!E113,'Исходные данные'!G113,'Исходные данные'!J113)</f>
        <v>3000</v>
      </c>
      <c r="H44" s="343"/>
      <c r="I44" s="343"/>
      <c r="J44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44" s="86"/>
      <c r="L44" s="83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42" customHeight="1" x14ac:dyDescent="0.55000000000000004">
      <c r="A45" s="2"/>
      <c r="B45" s="304" t="str">
        <f>'Исходные данные'!B114</f>
        <v>Хозяйственные нужды</v>
      </c>
      <c r="C45" s="305"/>
      <c r="D45" s="342">
        <f>G45/'Детальный расчет'!$P$24</f>
        <v>0</v>
      </c>
      <c r="E45" s="342"/>
      <c r="G45" s="343">
        <f>CHOOSE($N$1,'Исходные данные'!E114,'Исходные данные'!G114,'Исходные данные'!J114)</f>
        <v>0</v>
      </c>
      <c r="H45" s="343"/>
      <c r="I45" s="343"/>
      <c r="J45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6" spans="1:26" ht="42" customHeight="1" x14ac:dyDescent="0.55000000000000004">
      <c r="A46" s="2"/>
      <c r="B46" s="304" t="s">
        <v>130</v>
      </c>
      <c r="C46" s="305"/>
      <c r="D46" s="342">
        <f>G46/'Детальный расчет'!$P$24</f>
        <v>0</v>
      </c>
      <c r="E46" s="342"/>
      <c r="G46" s="343">
        <f>'Детальный расчет'!P53</f>
        <v>0</v>
      </c>
      <c r="H46" s="343"/>
      <c r="I46" s="343"/>
      <c r="J46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7" spans="1:26" ht="42" customHeight="1" x14ac:dyDescent="0.55000000000000004">
      <c r="A47" s="2"/>
      <c r="B47" s="307" t="s">
        <v>67</v>
      </c>
      <c r="C47" s="307"/>
      <c r="D47" s="342">
        <f>G47/'Детальный расчет'!$P$24</f>
        <v>4.2918454935622317E-2</v>
      </c>
      <c r="E47" s="342"/>
      <c r="G47" s="343">
        <f>CHOOSE($N$1,'Исходные данные'!E116,'Исходные данные'!G116,'Исходные данные'!J116)</f>
        <v>7000</v>
      </c>
      <c r="H47" s="343"/>
      <c r="I47" s="343"/>
      <c r="J47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8" spans="1:26" ht="42" customHeight="1" x14ac:dyDescent="0.55000000000000004">
      <c r="A48" s="2"/>
      <c r="B48" s="262" t="s">
        <v>71</v>
      </c>
      <c r="C48" s="263"/>
      <c r="D48" s="342">
        <f>G48/'Детальный расчет'!$P$24</f>
        <v>6.1312078479460455E-3</v>
      </c>
      <c r="E48" s="342"/>
      <c r="G48" s="343">
        <f>CHOOSE($N$1,'Исходные данные'!E117,'Исходные данные'!G117,'Исходные данные'!J117)</f>
        <v>1000</v>
      </c>
      <c r="H48" s="343"/>
      <c r="I48" s="343"/>
      <c r="J48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9" spans="1:25" ht="42" customHeight="1" x14ac:dyDescent="0.55000000000000004">
      <c r="A49" s="2"/>
      <c r="B49" s="262" t="s">
        <v>68</v>
      </c>
      <c r="C49" s="263"/>
      <c r="D49" s="342">
        <f>G49/'Детальный расчет'!$P$24</f>
        <v>4.904966278356836E-3</v>
      </c>
      <c r="E49" s="342"/>
      <c r="G49" s="343">
        <f>CHOOSE($N$1,'Исходные данные'!E118,'Исходные данные'!G118,'Исходные данные'!J118)</f>
        <v>800</v>
      </c>
      <c r="H49" s="343"/>
      <c r="I49" s="343"/>
      <c r="J49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0" spans="1:25" ht="42" customHeight="1" x14ac:dyDescent="0.55000000000000004">
      <c r="A50" s="2"/>
      <c r="B50" s="262" t="str">
        <f>'Исходные данные'!B119:C119</f>
        <v>Ведение бухгалтерского учета</v>
      </c>
      <c r="C50" s="263"/>
      <c r="D50" s="342">
        <f>G50/'Детальный расчет'!$P$24</f>
        <v>0</v>
      </c>
      <c r="E50" s="342"/>
      <c r="G50" s="343">
        <f>CHOOSE($N$1,'Исходные данные'!E119,'Исходные данные'!G119,'Исходные данные'!J119)</f>
        <v>0</v>
      </c>
      <c r="H50" s="343"/>
      <c r="I50" s="343"/>
      <c r="J50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1" spans="1:25" ht="42" customHeight="1" x14ac:dyDescent="0.55000000000000004">
      <c r="A51" s="2"/>
      <c r="B51" s="262" t="s">
        <v>78</v>
      </c>
      <c r="C51" s="263"/>
      <c r="D51" s="342">
        <f>G51/'Детальный расчет'!$P$24</f>
        <v>1.226241569589209E-3</v>
      </c>
      <c r="E51" s="342"/>
      <c r="G51" s="343">
        <f>CHOOSE($N$1,'Исходные данные'!E120,'Исходные данные'!G120,'Исходные данные'!J120)</f>
        <v>200</v>
      </c>
      <c r="H51" s="343"/>
      <c r="I51" s="343"/>
      <c r="J51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2" spans="1:25" ht="42" customHeight="1" x14ac:dyDescent="0.55000000000000004">
      <c r="A52" s="2"/>
      <c r="B52" s="262" t="s">
        <v>93</v>
      </c>
      <c r="C52" s="263"/>
      <c r="D52" s="342">
        <f>G52/'Детальный расчет'!$P$24</f>
        <v>0</v>
      </c>
      <c r="E52" s="342"/>
      <c r="G52" s="343">
        <f>'Детальный расчет'!P59</f>
        <v>0</v>
      </c>
      <c r="H52" s="343"/>
      <c r="I52" s="343"/>
      <c r="J52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3" spans="1:25" ht="42" customHeight="1" x14ac:dyDescent="0.55000000000000004">
      <c r="A53" s="2"/>
      <c r="B53" s="262" t="s">
        <v>75</v>
      </c>
      <c r="C53" s="263"/>
      <c r="D53" s="342">
        <f>G53/'Детальный расчет'!$P$24</f>
        <v>0</v>
      </c>
      <c r="E53" s="342"/>
      <c r="F53" s="147"/>
      <c r="G53" s="343">
        <f>'Детальный расчет'!P60</f>
        <v>0</v>
      </c>
      <c r="H53" s="343"/>
      <c r="I53" s="343"/>
      <c r="J53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4" spans="1:25" ht="42" customHeight="1" x14ac:dyDescent="0.55000000000000004">
      <c r="A54" s="2"/>
      <c r="B54" s="262" t="s">
        <v>44</v>
      </c>
      <c r="C54" s="263"/>
      <c r="D54" s="342">
        <f>G54/'Детальный расчет'!$P$24</f>
        <v>0</v>
      </c>
      <c r="E54" s="342"/>
      <c r="G54" s="343">
        <f>CHOOSE($N$1,'Исходные данные'!E126,'Исходные данные'!G126,'Исходные данные'!J126)</f>
        <v>0</v>
      </c>
      <c r="H54" s="343"/>
      <c r="I54" s="343"/>
      <c r="J54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N54" s="97"/>
    </row>
    <row r="55" spans="1:25" ht="42" customHeight="1" x14ac:dyDescent="0.55000000000000004">
      <c r="A55" s="2"/>
      <c r="B55" s="262" t="s">
        <v>2</v>
      </c>
      <c r="C55" s="263"/>
      <c r="D55" s="342">
        <f>G55/'Детальный расчет'!$P$24</f>
        <v>0</v>
      </c>
      <c r="E55" s="342"/>
      <c r="G55" s="343">
        <f>CHOOSE($N$1,'Исходные данные'!E127,'Исходные данные'!G127,'Исходные данные'!J127)</f>
        <v>0</v>
      </c>
      <c r="H55" s="343"/>
      <c r="I55" s="343"/>
      <c r="J55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6" spans="1:25" ht="34.200000000000003" customHeight="1" x14ac:dyDescent="0.55000000000000004">
      <c r="A56" s="2"/>
      <c r="B56" s="355" t="s">
        <v>3</v>
      </c>
      <c r="C56" s="355"/>
      <c r="D56" s="356">
        <f>SUM(D38:E55)</f>
        <v>0.74211263904703506</v>
      </c>
      <c r="E56" s="356"/>
      <c r="G56" s="372">
        <f>SUM(G38:I55)</f>
        <v>121038.57142857143</v>
      </c>
      <c r="H56" s="372"/>
      <c r="I56" s="372"/>
      <c r="J56" s="216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7" spans="1:25" ht="16.2" customHeight="1" x14ac:dyDescent="0.6">
      <c r="A57" s="303"/>
      <c r="B57" s="303"/>
      <c r="C57" s="303"/>
      <c r="D57" s="303"/>
      <c r="E57" s="303"/>
      <c r="F57" s="303"/>
      <c r="G57" s="303"/>
      <c r="H57" s="303"/>
      <c r="I57" s="303"/>
      <c r="J57" s="303"/>
      <c r="K57" s="85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</row>
    <row r="58" spans="1:25" ht="52.5" customHeight="1" x14ac:dyDescent="0.55000000000000004">
      <c r="A58" s="211"/>
      <c r="B58" s="211"/>
      <c r="C58" s="211"/>
      <c r="D58" s="218"/>
      <c r="E58" s="218"/>
      <c r="F58" s="218"/>
      <c r="G58" s="215"/>
      <c r="H58" s="218"/>
      <c r="I58" s="361" t="s">
        <v>103</v>
      </c>
      <c r="J58" s="361"/>
      <c r="K58" s="85"/>
    </row>
    <row r="59" spans="1:25" ht="45" customHeight="1" x14ac:dyDescent="0.55000000000000004">
      <c r="A59" s="350" t="s">
        <v>108</v>
      </c>
      <c r="B59" s="350"/>
      <c r="C59" s="352"/>
      <c r="D59" s="363">
        <f>'Детальный расчет'!P72</f>
        <v>42061.428571428558</v>
      </c>
      <c r="E59" s="363"/>
      <c r="F59" s="363"/>
      <c r="G59" s="363"/>
      <c r="H59" s="219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59" s="362">
        <f>'Детальный расчет'!P72/'Детальный расчет'!P66</f>
        <v>0.25788736095296477</v>
      </c>
      <c r="J59" s="362"/>
      <c r="K59" s="160"/>
    </row>
    <row r="60" spans="1:25" ht="8.0500000000000007" customHeight="1" x14ac:dyDescent="0.55000000000000004">
      <c r="A60" s="2"/>
      <c r="B60" s="2"/>
      <c r="C60" s="2"/>
      <c r="D60" s="364"/>
      <c r="E60" s="364"/>
      <c r="F60" s="364"/>
      <c r="G60" s="364"/>
      <c r="H60" s="217"/>
      <c r="I60" s="360"/>
      <c r="J60" s="360"/>
      <c r="K60" s="160"/>
    </row>
    <row r="61" spans="1:25" ht="45" customHeight="1" x14ac:dyDescent="0.55000000000000004">
      <c r="A61" s="350" t="s">
        <v>109</v>
      </c>
      <c r="B61" s="350"/>
      <c r="C61" s="352"/>
      <c r="D61" s="363">
        <f>'Детальный расчет'!AD72</f>
        <v>62003.714285714283</v>
      </c>
      <c r="E61" s="363"/>
      <c r="F61" s="363"/>
      <c r="G61" s="363"/>
      <c r="H61" s="219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61" s="362">
        <f>'Детальный расчет'!AD72/'Детальный расчет'!AD66</f>
        <v>0.31679804969197978</v>
      </c>
      <c r="J61" s="362"/>
      <c r="K61" s="160"/>
    </row>
    <row r="62" spans="1:25" ht="8.0500000000000007" customHeight="1" x14ac:dyDescent="0.55000000000000004">
      <c r="A62" s="2"/>
      <c r="B62" s="2"/>
      <c r="C62" s="2"/>
      <c r="D62" s="364"/>
      <c r="E62" s="364"/>
      <c r="F62" s="364"/>
      <c r="G62" s="364"/>
      <c r="H62" s="217"/>
      <c r="I62" s="360"/>
      <c r="J62" s="360"/>
    </row>
    <row r="63" spans="1:25" ht="45" customHeight="1" x14ac:dyDescent="0.55000000000000004">
      <c r="A63" s="350" t="s">
        <v>110</v>
      </c>
      <c r="B63" s="350"/>
      <c r="C63" s="352"/>
      <c r="D63" s="371">
        <f>'Детальный расчет'!AR72</f>
        <v>81946</v>
      </c>
      <c r="E63" s="371"/>
      <c r="F63" s="371"/>
      <c r="G63" s="371"/>
      <c r="H63" s="219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63" s="362">
        <f>'Детальный расчет'!AR72/'Детальный расчет'!AR66</f>
        <v>0.35887711307699049</v>
      </c>
      <c r="J63" s="362"/>
    </row>
    <row r="64" spans="1:25" ht="8.0500000000000007" customHeight="1" x14ac:dyDescent="0.55000000000000004">
      <c r="A64" s="2"/>
      <c r="B64" s="2"/>
      <c r="C64" s="2"/>
      <c r="D64" s="2"/>
      <c r="E64" s="2"/>
      <c r="F64" s="2"/>
      <c r="H64" s="7"/>
      <c r="I64" s="7"/>
      <c r="J64" s="7"/>
    </row>
    <row r="65" spans="1:10" ht="45" customHeight="1" x14ac:dyDescent="0.55000000000000004">
      <c r="A65" s="353" t="s">
        <v>48</v>
      </c>
      <c r="B65" s="353"/>
      <c r="C65" s="354"/>
      <c r="D65" s="357">
        <f>'Детальный расчет'!B96</f>
        <v>1</v>
      </c>
      <c r="E65" s="358"/>
      <c r="F65" s="358"/>
      <c r="G65" s="358"/>
      <c r="H65" s="359"/>
      <c r="I65" s="3" t="s">
        <v>4</v>
      </c>
    </row>
    <row r="66" spans="1:10" ht="8.0500000000000007" customHeight="1" x14ac:dyDescent="0.55000000000000004">
      <c r="A66" s="2"/>
      <c r="B66" s="2"/>
      <c r="C66" s="2"/>
      <c r="D66" s="360"/>
      <c r="E66" s="360"/>
      <c r="F66" s="360"/>
      <c r="G66" s="360"/>
      <c r="H66" s="360"/>
      <c r="I66" s="7"/>
    </row>
    <row r="67" spans="1:10" ht="45" customHeight="1" x14ac:dyDescent="0.55000000000000004">
      <c r="A67" s="350" t="s">
        <v>69</v>
      </c>
      <c r="B67" s="350"/>
      <c r="C67" s="351"/>
      <c r="D67" s="357">
        <f>'Детальный расчет'!B95</f>
        <v>31</v>
      </c>
      <c r="E67" s="358"/>
      <c r="F67" s="358"/>
      <c r="G67" s="358"/>
      <c r="H67" s="359"/>
      <c r="I67" s="3" t="s">
        <v>4</v>
      </c>
    </row>
    <row r="68" spans="1:10" ht="27" customHeight="1" x14ac:dyDescent="0.55000000000000004">
      <c r="A68" s="184"/>
      <c r="B68" s="5"/>
      <c r="C68" s="5"/>
      <c r="D68" s="5"/>
      <c r="E68" s="5"/>
      <c r="F68" s="5"/>
      <c r="G68" s="6"/>
      <c r="H68" s="6"/>
      <c r="I68" s="6"/>
      <c r="J68" s="5"/>
    </row>
  </sheetData>
  <sheetProtection formatCells="0" formatColumns="0" formatRows="0" insertColumns="0" insertRows="0" insertHyperlinks="0" deleteColumns="0" deleteRows="0" sort="0" autoFilter="0" pivotTables="0"/>
  <mergeCells count="159">
    <mergeCell ref="D62:G62"/>
    <mergeCell ref="D63:G63"/>
    <mergeCell ref="B38:C38"/>
    <mergeCell ref="D38:E38"/>
    <mergeCell ref="G38:I38"/>
    <mergeCell ref="G46:I46"/>
    <mergeCell ref="G47:I47"/>
    <mergeCell ref="G48:I48"/>
    <mergeCell ref="G49:I49"/>
    <mergeCell ref="G50:I50"/>
    <mergeCell ref="G51:I51"/>
    <mergeCell ref="G52:I52"/>
    <mergeCell ref="B46:C46"/>
    <mergeCell ref="D46:E46"/>
    <mergeCell ref="B51:C51"/>
    <mergeCell ref="D51:E51"/>
    <mergeCell ref="B53:C53"/>
    <mergeCell ref="D53:E53"/>
    <mergeCell ref="G54:I54"/>
    <mergeCell ref="G55:I55"/>
    <mergeCell ref="G56:I56"/>
    <mergeCell ref="B52:C52"/>
    <mergeCell ref="D52:E52"/>
    <mergeCell ref="G53:I53"/>
    <mergeCell ref="E29:F29"/>
    <mergeCell ref="E30:F30"/>
    <mergeCell ref="E31:F31"/>
    <mergeCell ref="E32:F32"/>
    <mergeCell ref="E33:F33"/>
    <mergeCell ref="E34:F34"/>
    <mergeCell ref="G45:I45"/>
    <mergeCell ref="D50:E50"/>
    <mergeCell ref="D49:E49"/>
    <mergeCell ref="D47:E47"/>
    <mergeCell ref="D48:E48"/>
    <mergeCell ref="D43:E43"/>
    <mergeCell ref="D39:E39"/>
    <mergeCell ref="A35:J35"/>
    <mergeCell ref="A33:C33"/>
    <mergeCell ref="D45:E45"/>
    <mergeCell ref="B40:C40"/>
    <mergeCell ref="D40:E40"/>
    <mergeCell ref="B41:C41"/>
    <mergeCell ref="D41:E41"/>
    <mergeCell ref="B42:C42"/>
    <mergeCell ref="B50:C50"/>
    <mergeCell ref="B49:C49"/>
    <mergeCell ref="B47:C47"/>
    <mergeCell ref="A1:J1"/>
    <mergeCell ref="A2:D2"/>
    <mergeCell ref="F2:H2"/>
    <mergeCell ref="A4:C4"/>
    <mergeCell ref="F4:H4"/>
    <mergeCell ref="A16:J16"/>
    <mergeCell ref="B18:C18"/>
    <mergeCell ref="D7:E7"/>
    <mergeCell ref="B22:C22"/>
    <mergeCell ref="B19:C19"/>
    <mergeCell ref="A13:C13"/>
    <mergeCell ref="A14:C14"/>
    <mergeCell ref="A15:C15"/>
    <mergeCell ref="I13:J13"/>
    <mergeCell ref="I14:J14"/>
    <mergeCell ref="I15:J15"/>
    <mergeCell ref="F13:G13"/>
    <mergeCell ref="F14:G14"/>
    <mergeCell ref="F15:G15"/>
    <mergeCell ref="D18:H18"/>
    <mergeCell ref="D19:H19"/>
    <mergeCell ref="D20:H20"/>
    <mergeCell ref="D21:H21"/>
    <mergeCell ref="D22:H22"/>
    <mergeCell ref="A67:C67"/>
    <mergeCell ref="A63:C63"/>
    <mergeCell ref="A65:C65"/>
    <mergeCell ref="B54:C54"/>
    <mergeCell ref="D54:E54"/>
    <mergeCell ref="B55:C55"/>
    <mergeCell ref="D55:E55"/>
    <mergeCell ref="B56:C56"/>
    <mergeCell ref="D56:E56"/>
    <mergeCell ref="A57:J57"/>
    <mergeCell ref="A59:C59"/>
    <mergeCell ref="A61:C61"/>
    <mergeCell ref="D65:H65"/>
    <mergeCell ref="D66:H66"/>
    <mergeCell ref="D67:H67"/>
    <mergeCell ref="I58:J58"/>
    <mergeCell ref="I59:J59"/>
    <mergeCell ref="I60:J60"/>
    <mergeCell ref="I61:J61"/>
    <mergeCell ref="I62:J62"/>
    <mergeCell ref="I63:J63"/>
    <mergeCell ref="D59:G59"/>
    <mergeCell ref="D60:G60"/>
    <mergeCell ref="D61:G61"/>
    <mergeCell ref="B48:C48"/>
    <mergeCell ref="B43:C43"/>
    <mergeCell ref="B44:C44"/>
    <mergeCell ref="B45:C45"/>
    <mergeCell ref="D44:E44"/>
    <mergeCell ref="A27:J27"/>
    <mergeCell ref="B20:C20"/>
    <mergeCell ref="B21:C21"/>
    <mergeCell ref="G43:I43"/>
    <mergeCell ref="G44:I44"/>
    <mergeCell ref="D37:E37"/>
    <mergeCell ref="G37:I37"/>
    <mergeCell ref="G39:I39"/>
    <mergeCell ref="G40:I40"/>
    <mergeCell ref="A29:C29"/>
    <mergeCell ref="D26:H26"/>
    <mergeCell ref="G29:H29"/>
    <mergeCell ref="G30:H30"/>
    <mergeCell ref="G31:H31"/>
    <mergeCell ref="G32:H32"/>
    <mergeCell ref="G33:H33"/>
    <mergeCell ref="G34:H34"/>
    <mergeCell ref="A30:C30"/>
    <mergeCell ref="A31:C31"/>
    <mergeCell ref="B25:C25"/>
    <mergeCell ref="B26:C26"/>
    <mergeCell ref="B23:C23"/>
    <mergeCell ref="B24:C24"/>
    <mergeCell ref="I10:J10"/>
    <mergeCell ref="I11:J11"/>
    <mergeCell ref="I12:J12"/>
    <mergeCell ref="F10:G10"/>
    <mergeCell ref="F11:G11"/>
    <mergeCell ref="F12:G12"/>
    <mergeCell ref="D11:E11"/>
    <mergeCell ref="D12:E12"/>
    <mergeCell ref="A10:C10"/>
    <mergeCell ref="A11:C11"/>
    <mergeCell ref="A12:C12"/>
    <mergeCell ref="A34:C34"/>
    <mergeCell ref="D42:E42"/>
    <mergeCell ref="G41:I41"/>
    <mergeCell ref="G42:I42"/>
    <mergeCell ref="B39:C39"/>
    <mergeCell ref="A7:C7"/>
    <mergeCell ref="A8:C8"/>
    <mergeCell ref="A9:C9"/>
    <mergeCell ref="I7:J7"/>
    <mergeCell ref="I8:J8"/>
    <mergeCell ref="I9:J9"/>
    <mergeCell ref="F7:G7"/>
    <mergeCell ref="F8:G8"/>
    <mergeCell ref="F9:G9"/>
    <mergeCell ref="D23:H23"/>
    <mergeCell ref="D24:H24"/>
    <mergeCell ref="D25:H25"/>
    <mergeCell ref="D13:E13"/>
    <mergeCell ref="D14:E14"/>
    <mergeCell ref="D15:E15"/>
    <mergeCell ref="A32:C32"/>
    <mergeCell ref="D8:E8"/>
    <mergeCell ref="D9:E9"/>
    <mergeCell ref="D10:E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1">
              <controlPr locked="0" defaultSize="0" autoLine="0" autoPict="0">
                <anchor moveWithCells="1">
                  <from>
                    <xdr:col>2</xdr:col>
                    <xdr:colOff>213360</xdr:colOff>
                    <xdr:row>3</xdr:row>
                    <xdr:rowOff>30480</xdr:rowOff>
                  </from>
                  <to>
                    <xdr:col>3</xdr:col>
                    <xdr:colOff>1146810</xdr:colOff>
                    <xdr:row>3</xdr:row>
                    <xdr:rowOff>346710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5" name="Drop Down 6">
              <controlPr locked="0" defaultSize="0" autoLine="0" autoPict="0">
                <anchor moveWithCells="1">
                  <from>
                    <xdr:col>8</xdr:col>
                    <xdr:colOff>99060</xdr:colOff>
                    <xdr:row>3</xdr:row>
                    <xdr:rowOff>3810</xdr:rowOff>
                  </from>
                  <to>
                    <xdr:col>9</xdr:col>
                    <xdr:colOff>792480</xdr:colOff>
                    <xdr:row>3</xdr:row>
                    <xdr:rowOff>320040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B114"/>
  <sheetViews>
    <sheetView zoomScale="80" zoomScaleNormal="80" zoomScaleSheetLayoutView="70" workbookViewId="0">
      <pane xSplit="2" ySplit="16" topLeftCell="C69" activePane="bottomRight" state="frozen"/>
      <selection pane="topRight" activeCell="C1" sqref="C1"/>
      <selection pane="bottomLeft" activeCell="A17" sqref="A17"/>
      <selection pane="bottomRight" activeCell="A96" sqref="A96"/>
    </sheetView>
  </sheetViews>
  <sheetFormatPr defaultRowHeight="12.3" outlineLevelRow="1" outlineLevelCol="1" x14ac:dyDescent="0.4"/>
  <cols>
    <col min="1" max="1" width="51.20703125" style="13" bestFit="1" customWidth="1"/>
    <col min="2" max="2" width="12.578125" style="13" customWidth="1"/>
    <col min="3" max="14" width="11" style="12" customWidth="1" outlineLevel="1"/>
    <col min="15" max="15" width="11" style="101" customWidth="1"/>
    <col min="16" max="16" width="13.83984375" style="101" customWidth="1"/>
    <col min="17" max="28" width="11" style="12" customWidth="1" outlineLevel="1"/>
    <col min="29" max="29" width="11" style="101" customWidth="1"/>
    <col min="30" max="30" width="14.26171875" style="101" customWidth="1"/>
    <col min="31" max="42" width="11" style="12" customWidth="1" outlineLevel="1"/>
    <col min="43" max="43" width="11" style="101" customWidth="1"/>
    <col min="44" max="44" width="14.26171875" style="101" customWidth="1"/>
    <col min="45" max="45" width="12.83984375" style="12" customWidth="1"/>
    <col min="46" max="46" width="10" style="12" bestFit="1" customWidth="1"/>
    <col min="47" max="285" width="9.15625" style="12"/>
    <col min="286" max="286" width="53" style="12" customWidth="1"/>
    <col min="287" max="287" width="14.41796875" style="12" customWidth="1"/>
    <col min="288" max="300" width="11" style="12" customWidth="1"/>
    <col min="301" max="301" width="12.83984375" style="12" customWidth="1"/>
    <col min="302" max="302" width="10" style="12" bestFit="1" customWidth="1"/>
    <col min="303" max="541" width="9.15625" style="12"/>
    <col min="542" max="542" width="53" style="12" customWidth="1"/>
    <col min="543" max="543" width="14.41796875" style="12" customWidth="1"/>
    <col min="544" max="556" width="11" style="12" customWidth="1"/>
    <col min="557" max="557" width="12.83984375" style="12" customWidth="1"/>
    <col min="558" max="558" width="10" style="12" bestFit="1" customWidth="1"/>
    <col min="559" max="797" width="9.15625" style="12"/>
    <col min="798" max="798" width="53" style="12" customWidth="1"/>
    <col min="799" max="799" width="14.41796875" style="12" customWidth="1"/>
    <col min="800" max="812" width="11" style="12" customWidth="1"/>
    <col min="813" max="813" width="12.83984375" style="12" customWidth="1"/>
    <col min="814" max="814" width="10" style="12" bestFit="1" customWidth="1"/>
    <col min="815" max="1053" width="9.15625" style="12"/>
    <col min="1054" max="1054" width="53" style="12" customWidth="1"/>
    <col min="1055" max="1055" width="14.41796875" style="12" customWidth="1"/>
    <col min="1056" max="1068" width="11" style="12" customWidth="1"/>
    <col min="1069" max="1069" width="12.83984375" style="12" customWidth="1"/>
    <col min="1070" max="1070" width="10" style="12" bestFit="1" customWidth="1"/>
    <col min="1071" max="1309" width="9.15625" style="12"/>
    <col min="1310" max="1310" width="53" style="12" customWidth="1"/>
    <col min="1311" max="1311" width="14.41796875" style="12" customWidth="1"/>
    <col min="1312" max="1324" width="11" style="12" customWidth="1"/>
    <col min="1325" max="1325" width="12.83984375" style="12" customWidth="1"/>
    <col min="1326" max="1326" width="10" style="12" bestFit="1" customWidth="1"/>
    <col min="1327" max="1565" width="9.15625" style="12"/>
    <col min="1566" max="1566" width="53" style="12" customWidth="1"/>
    <col min="1567" max="1567" width="14.41796875" style="12" customWidth="1"/>
    <col min="1568" max="1580" width="11" style="12" customWidth="1"/>
    <col min="1581" max="1581" width="12.83984375" style="12" customWidth="1"/>
    <col min="1582" max="1582" width="10" style="12" bestFit="1" customWidth="1"/>
    <col min="1583" max="1821" width="9.15625" style="12"/>
    <col min="1822" max="1822" width="53" style="12" customWidth="1"/>
    <col min="1823" max="1823" width="14.41796875" style="12" customWidth="1"/>
    <col min="1824" max="1836" width="11" style="12" customWidth="1"/>
    <col min="1837" max="1837" width="12.83984375" style="12" customWidth="1"/>
    <col min="1838" max="1838" width="10" style="12" bestFit="1" customWidth="1"/>
    <col min="1839" max="2077" width="9.15625" style="12"/>
    <col min="2078" max="2078" width="53" style="12" customWidth="1"/>
    <col min="2079" max="2079" width="14.41796875" style="12" customWidth="1"/>
    <col min="2080" max="2092" width="11" style="12" customWidth="1"/>
    <col min="2093" max="2093" width="12.83984375" style="12" customWidth="1"/>
    <col min="2094" max="2094" width="10" style="12" bestFit="1" customWidth="1"/>
    <col min="2095" max="2333" width="9.15625" style="12"/>
    <col min="2334" max="2334" width="53" style="12" customWidth="1"/>
    <col min="2335" max="2335" width="14.41796875" style="12" customWidth="1"/>
    <col min="2336" max="2348" width="11" style="12" customWidth="1"/>
    <col min="2349" max="2349" width="12.83984375" style="12" customWidth="1"/>
    <col min="2350" max="2350" width="10" style="12" bestFit="1" customWidth="1"/>
    <col min="2351" max="2589" width="9.15625" style="12"/>
    <col min="2590" max="2590" width="53" style="12" customWidth="1"/>
    <col min="2591" max="2591" width="14.41796875" style="12" customWidth="1"/>
    <col min="2592" max="2604" width="11" style="12" customWidth="1"/>
    <col min="2605" max="2605" width="12.83984375" style="12" customWidth="1"/>
    <col min="2606" max="2606" width="10" style="12" bestFit="1" customWidth="1"/>
    <col min="2607" max="2845" width="9.15625" style="12"/>
    <col min="2846" max="2846" width="53" style="12" customWidth="1"/>
    <col min="2847" max="2847" width="14.41796875" style="12" customWidth="1"/>
    <col min="2848" max="2860" width="11" style="12" customWidth="1"/>
    <col min="2861" max="2861" width="12.83984375" style="12" customWidth="1"/>
    <col min="2862" max="2862" width="10" style="12" bestFit="1" customWidth="1"/>
    <col min="2863" max="3101" width="9.15625" style="12"/>
    <col min="3102" max="3102" width="53" style="12" customWidth="1"/>
    <col min="3103" max="3103" width="14.41796875" style="12" customWidth="1"/>
    <col min="3104" max="3116" width="11" style="12" customWidth="1"/>
    <col min="3117" max="3117" width="12.83984375" style="12" customWidth="1"/>
    <col min="3118" max="3118" width="10" style="12" bestFit="1" customWidth="1"/>
    <col min="3119" max="3357" width="9.15625" style="12"/>
    <col min="3358" max="3358" width="53" style="12" customWidth="1"/>
    <col min="3359" max="3359" width="14.41796875" style="12" customWidth="1"/>
    <col min="3360" max="3372" width="11" style="12" customWidth="1"/>
    <col min="3373" max="3373" width="12.83984375" style="12" customWidth="1"/>
    <col min="3374" max="3374" width="10" style="12" bestFit="1" customWidth="1"/>
    <col min="3375" max="3613" width="9.15625" style="12"/>
    <col min="3614" max="3614" width="53" style="12" customWidth="1"/>
    <col min="3615" max="3615" width="14.41796875" style="12" customWidth="1"/>
    <col min="3616" max="3628" width="11" style="12" customWidth="1"/>
    <col min="3629" max="3629" width="12.83984375" style="12" customWidth="1"/>
    <col min="3630" max="3630" width="10" style="12" bestFit="1" customWidth="1"/>
    <col min="3631" max="3869" width="9.15625" style="12"/>
    <col min="3870" max="3870" width="53" style="12" customWidth="1"/>
    <col min="3871" max="3871" width="14.41796875" style="12" customWidth="1"/>
    <col min="3872" max="3884" width="11" style="12" customWidth="1"/>
    <col min="3885" max="3885" width="12.83984375" style="12" customWidth="1"/>
    <col min="3886" max="3886" width="10" style="12" bestFit="1" customWidth="1"/>
    <col min="3887" max="4125" width="9.15625" style="12"/>
    <col min="4126" max="4126" width="53" style="12" customWidth="1"/>
    <col min="4127" max="4127" width="14.41796875" style="12" customWidth="1"/>
    <col min="4128" max="4140" width="11" style="12" customWidth="1"/>
    <col min="4141" max="4141" width="12.83984375" style="12" customWidth="1"/>
    <col min="4142" max="4142" width="10" style="12" bestFit="1" customWidth="1"/>
    <col min="4143" max="4381" width="9.15625" style="12"/>
    <col min="4382" max="4382" width="53" style="12" customWidth="1"/>
    <col min="4383" max="4383" width="14.41796875" style="12" customWidth="1"/>
    <col min="4384" max="4396" width="11" style="12" customWidth="1"/>
    <col min="4397" max="4397" width="12.83984375" style="12" customWidth="1"/>
    <col min="4398" max="4398" width="10" style="12" bestFit="1" customWidth="1"/>
    <col min="4399" max="4637" width="9.15625" style="12"/>
    <col min="4638" max="4638" width="53" style="12" customWidth="1"/>
    <col min="4639" max="4639" width="14.41796875" style="12" customWidth="1"/>
    <col min="4640" max="4652" width="11" style="12" customWidth="1"/>
    <col min="4653" max="4653" width="12.83984375" style="12" customWidth="1"/>
    <col min="4654" max="4654" width="10" style="12" bestFit="1" customWidth="1"/>
    <col min="4655" max="4893" width="9.15625" style="12"/>
    <col min="4894" max="4894" width="53" style="12" customWidth="1"/>
    <col min="4895" max="4895" width="14.41796875" style="12" customWidth="1"/>
    <col min="4896" max="4908" width="11" style="12" customWidth="1"/>
    <col min="4909" max="4909" width="12.83984375" style="12" customWidth="1"/>
    <col min="4910" max="4910" width="10" style="12" bestFit="1" customWidth="1"/>
    <col min="4911" max="5149" width="9.15625" style="12"/>
    <col min="5150" max="5150" width="53" style="12" customWidth="1"/>
    <col min="5151" max="5151" width="14.41796875" style="12" customWidth="1"/>
    <col min="5152" max="5164" width="11" style="12" customWidth="1"/>
    <col min="5165" max="5165" width="12.83984375" style="12" customWidth="1"/>
    <col min="5166" max="5166" width="10" style="12" bestFit="1" customWidth="1"/>
    <col min="5167" max="5405" width="9.15625" style="12"/>
    <col min="5406" max="5406" width="53" style="12" customWidth="1"/>
    <col min="5407" max="5407" width="14.41796875" style="12" customWidth="1"/>
    <col min="5408" max="5420" width="11" style="12" customWidth="1"/>
    <col min="5421" max="5421" width="12.83984375" style="12" customWidth="1"/>
    <col min="5422" max="5422" width="10" style="12" bestFit="1" customWidth="1"/>
    <col min="5423" max="5661" width="9.15625" style="12"/>
    <col min="5662" max="5662" width="53" style="12" customWidth="1"/>
    <col min="5663" max="5663" width="14.41796875" style="12" customWidth="1"/>
    <col min="5664" max="5676" width="11" style="12" customWidth="1"/>
    <col min="5677" max="5677" width="12.83984375" style="12" customWidth="1"/>
    <col min="5678" max="5678" width="10" style="12" bestFit="1" customWidth="1"/>
    <col min="5679" max="5917" width="9.15625" style="12"/>
    <col min="5918" max="5918" width="53" style="12" customWidth="1"/>
    <col min="5919" max="5919" width="14.41796875" style="12" customWidth="1"/>
    <col min="5920" max="5932" width="11" style="12" customWidth="1"/>
    <col min="5933" max="5933" width="12.83984375" style="12" customWidth="1"/>
    <col min="5934" max="5934" width="10" style="12" bestFit="1" customWidth="1"/>
    <col min="5935" max="6173" width="9.15625" style="12"/>
    <col min="6174" max="6174" width="53" style="12" customWidth="1"/>
    <col min="6175" max="6175" width="14.41796875" style="12" customWidth="1"/>
    <col min="6176" max="6188" width="11" style="12" customWidth="1"/>
    <col min="6189" max="6189" width="12.83984375" style="12" customWidth="1"/>
    <col min="6190" max="6190" width="10" style="12" bestFit="1" customWidth="1"/>
    <col min="6191" max="6429" width="9.15625" style="12"/>
    <col min="6430" max="6430" width="53" style="12" customWidth="1"/>
    <col min="6431" max="6431" width="14.41796875" style="12" customWidth="1"/>
    <col min="6432" max="6444" width="11" style="12" customWidth="1"/>
    <col min="6445" max="6445" width="12.83984375" style="12" customWidth="1"/>
    <col min="6446" max="6446" width="10" style="12" bestFit="1" customWidth="1"/>
    <col min="6447" max="6685" width="9.15625" style="12"/>
    <col min="6686" max="6686" width="53" style="12" customWidth="1"/>
    <col min="6687" max="6687" width="14.41796875" style="12" customWidth="1"/>
    <col min="6688" max="6700" width="11" style="12" customWidth="1"/>
    <col min="6701" max="6701" width="12.83984375" style="12" customWidth="1"/>
    <col min="6702" max="6702" width="10" style="12" bestFit="1" customWidth="1"/>
    <col min="6703" max="6941" width="9.15625" style="12"/>
    <col min="6942" max="6942" width="53" style="12" customWidth="1"/>
    <col min="6943" max="6943" width="14.41796875" style="12" customWidth="1"/>
    <col min="6944" max="6956" width="11" style="12" customWidth="1"/>
    <col min="6957" max="6957" width="12.83984375" style="12" customWidth="1"/>
    <col min="6958" max="6958" width="10" style="12" bestFit="1" customWidth="1"/>
    <col min="6959" max="7197" width="9.15625" style="12"/>
    <col min="7198" max="7198" width="53" style="12" customWidth="1"/>
    <col min="7199" max="7199" width="14.41796875" style="12" customWidth="1"/>
    <col min="7200" max="7212" width="11" style="12" customWidth="1"/>
    <col min="7213" max="7213" width="12.83984375" style="12" customWidth="1"/>
    <col min="7214" max="7214" width="10" style="12" bestFit="1" customWidth="1"/>
    <col min="7215" max="7453" width="9.15625" style="12"/>
    <col min="7454" max="7454" width="53" style="12" customWidth="1"/>
    <col min="7455" max="7455" width="14.41796875" style="12" customWidth="1"/>
    <col min="7456" max="7468" width="11" style="12" customWidth="1"/>
    <col min="7469" max="7469" width="12.83984375" style="12" customWidth="1"/>
    <col min="7470" max="7470" width="10" style="12" bestFit="1" customWidth="1"/>
    <col min="7471" max="7709" width="9.15625" style="12"/>
    <col min="7710" max="7710" width="53" style="12" customWidth="1"/>
    <col min="7711" max="7711" width="14.41796875" style="12" customWidth="1"/>
    <col min="7712" max="7724" width="11" style="12" customWidth="1"/>
    <col min="7725" max="7725" width="12.83984375" style="12" customWidth="1"/>
    <col min="7726" max="7726" width="10" style="12" bestFit="1" customWidth="1"/>
    <col min="7727" max="7965" width="9.15625" style="12"/>
    <col min="7966" max="7966" width="53" style="12" customWidth="1"/>
    <col min="7967" max="7967" width="14.41796875" style="12" customWidth="1"/>
    <col min="7968" max="7980" width="11" style="12" customWidth="1"/>
    <col min="7981" max="7981" width="12.83984375" style="12" customWidth="1"/>
    <col min="7982" max="7982" width="10" style="12" bestFit="1" customWidth="1"/>
    <col min="7983" max="8221" width="9.15625" style="12"/>
    <col min="8222" max="8222" width="53" style="12" customWidth="1"/>
    <col min="8223" max="8223" width="14.41796875" style="12" customWidth="1"/>
    <col min="8224" max="8236" width="11" style="12" customWidth="1"/>
    <col min="8237" max="8237" width="12.83984375" style="12" customWidth="1"/>
    <col min="8238" max="8238" width="10" style="12" bestFit="1" customWidth="1"/>
    <col min="8239" max="8477" width="9.15625" style="12"/>
    <col min="8478" max="8478" width="53" style="12" customWidth="1"/>
    <col min="8479" max="8479" width="14.41796875" style="12" customWidth="1"/>
    <col min="8480" max="8492" width="11" style="12" customWidth="1"/>
    <col min="8493" max="8493" width="12.83984375" style="12" customWidth="1"/>
    <col min="8494" max="8494" width="10" style="12" bestFit="1" customWidth="1"/>
    <col min="8495" max="8733" width="9.15625" style="12"/>
    <col min="8734" max="8734" width="53" style="12" customWidth="1"/>
    <col min="8735" max="8735" width="14.41796875" style="12" customWidth="1"/>
    <col min="8736" max="8748" width="11" style="12" customWidth="1"/>
    <col min="8749" max="8749" width="12.83984375" style="12" customWidth="1"/>
    <col min="8750" max="8750" width="10" style="12" bestFit="1" customWidth="1"/>
    <col min="8751" max="8989" width="9.15625" style="12"/>
    <col min="8990" max="8990" width="53" style="12" customWidth="1"/>
    <col min="8991" max="8991" width="14.41796875" style="12" customWidth="1"/>
    <col min="8992" max="9004" width="11" style="12" customWidth="1"/>
    <col min="9005" max="9005" width="12.83984375" style="12" customWidth="1"/>
    <col min="9006" max="9006" width="10" style="12" bestFit="1" customWidth="1"/>
    <col min="9007" max="9245" width="9.15625" style="12"/>
    <col min="9246" max="9246" width="53" style="12" customWidth="1"/>
    <col min="9247" max="9247" width="14.41796875" style="12" customWidth="1"/>
    <col min="9248" max="9260" width="11" style="12" customWidth="1"/>
    <col min="9261" max="9261" width="12.83984375" style="12" customWidth="1"/>
    <col min="9262" max="9262" width="10" style="12" bestFit="1" customWidth="1"/>
    <col min="9263" max="9501" width="9.15625" style="12"/>
    <col min="9502" max="9502" width="53" style="12" customWidth="1"/>
    <col min="9503" max="9503" width="14.41796875" style="12" customWidth="1"/>
    <col min="9504" max="9516" width="11" style="12" customWidth="1"/>
    <col min="9517" max="9517" width="12.83984375" style="12" customWidth="1"/>
    <col min="9518" max="9518" width="10" style="12" bestFit="1" customWidth="1"/>
    <col min="9519" max="9757" width="9.15625" style="12"/>
    <col min="9758" max="9758" width="53" style="12" customWidth="1"/>
    <col min="9759" max="9759" width="14.41796875" style="12" customWidth="1"/>
    <col min="9760" max="9772" width="11" style="12" customWidth="1"/>
    <col min="9773" max="9773" width="12.83984375" style="12" customWidth="1"/>
    <col min="9774" max="9774" width="10" style="12" bestFit="1" customWidth="1"/>
    <col min="9775" max="10013" width="9.15625" style="12"/>
    <col min="10014" max="10014" width="53" style="12" customWidth="1"/>
    <col min="10015" max="10015" width="14.41796875" style="12" customWidth="1"/>
    <col min="10016" max="10028" width="11" style="12" customWidth="1"/>
    <col min="10029" max="10029" width="12.83984375" style="12" customWidth="1"/>
    <col min="10030" max="10030" width="10" style="12" bestFit="1" customWidth="1"/>
    <col min="10031" max="10269" width="9.15625" style="12"/>
    <col min="10270" max="10270" width="53" style="12" customWidth="1"/>
    <col min="10271" max="10271" width="14.41796875" style="12" customWidth="1"/>
    <col min="10272" max="10284" width="11" style="12" customWidth="1"/>
    <col min="10285" max="10285" width="12.83984375" style="12" customWidth="1"/>
    <col min="10286" max="10286" width="10" style="12" bestFit="1" customWidth="1"/>
    <col min="10287" max="10525" width="9.15625" style="12"/>
    <col min="10526" max="10526" width="53" style="12" customWidth="1"/>
    <col min="10527" max="10527" width="14.41796875" style="12" customWidth="1"/>
    <col min="10528" max="10540" width="11" style="12" customWidth="1"/>
    <col min="10541" max="10541" width="12.83984375" style="12" customWidth="1"/>
    <col min="10542" max="10542" width="10" style="12" bestFit="1" customWidth="1"/>
    <col min="10543" max="10781" width="9.15625" style="12"/>
    <col min="10782" max="10782" width="53" style="12" customWidth="1"/>
    <col min="10783" max="10783" width="14.41796875" style="12" customWidth="1"/>
    <col min="10784" max="10796" width="11" style="12" customWidth="1"/>
    <col min="10797" max="10797" width="12.83984375" style="12" customWidth="1"/>
    <col min="10798" max="10798" width="10" style="12" bestFit="1" customWidth="1"/>
    <col min="10799" max="11037" width="9.15625" style="12"/>
    <col min="11038" max="11038" width="53" style="12" customWidth="1"/>
    <col min="11039" max="11039" width="14.41796875" style="12" customWidth="1"/>
    <col min="11040" max="11052" width="11" style="12" customWidth="1"/>
    <col min="11053" max="11053" width="12.83984375" style="12" customWidth="1"/>
    <col min="11054" max="11054" width="10" style="12" bestFit="1" customWidth="1"/>
    <col min="11055" max="11293" width="9.15625" style="12"/>
    <col min="11294" max="11294" width="53" style="12" customWidth="1"/>
    <col min="11295" max="11295" width="14.41796875" style="12" customWidth="1"/>
    <col min="11296" max="11308" width="11" style="12" customWidth="1"/>
    <col min="11309" max="11309" width="12.83984375" style="12" customWidth="1"/>
    <col min="11310" max="11310" width="10" style="12" bestFit="1" customWidth="1"/>
    <col min="11311" max="11549" width="9.15625" style="12"/>
    <col min="11550" max="11550" width="53" style="12" customWidth="1"/>
    <col min="11551" max="11551" width="14.41796875" style="12" customWidth="1"/>
    <col min="11552" max="11564" width="11" style="12" customWidth="1"/>
    <col min="11565" max="11565" width="12.83984375" style="12" customWidth="1"/>
    <col min="11566" max="11566" width="10" style="12" bestFit="1" customWidth="1"/>
    <col min="11567" max="11805" width="9.15625" style="12"/>
    <col min="11806" max="11806" width="53" style="12" customWidth="1"/>
    <col min="11807" max="11807" width="14.41796875" style="12" customWidth="1"/>
    <col min="11808" max="11820" width="11" style="12" customWidth="1"/>
    <col min="11821" max="11821" width="12.83984375" style="12" customWidth="1"/>
    <col min="11822" max="11822" width="10" style="12" bestFit="1" customWidth="1"/>
    <col min="11823" max="12061" width="9.15625" style="12"/>
    <col min="12062" max="12062" width="53" style="12" customWidth="1"/>
    <col min="12063" max="12063" width="14.41796875" style="12" customWidth="1"/>
    <col min="12064" max="12076" width="11" style="12" customWidth="1"/>
    <col min="12077" max="12077" width="12.83984375" style="12" customWidth="1"/>
    <col min="12078" max="12078" width="10" style="12" bestFit="1" customWidth="1"/>
    <col min="12079" max="12317" width="9.15625" style="12"/>
    <col min="12318" max="12318" width="53" style="12" customWidth="1"/>
    <col min="12319" max="12319" width="14.41796875" style="12" customWidth="1"/>
    <col min="12320" max="12332" width="11" style="12" customWidth="1"/>
    <col min="12333" max="12333" width="12.83984375" style="12" customWidth="1"/>
    <col min="12334" max="12334" width="10" style="12" bestFit="1" customWidth="1"/>
    <col min="12335" max="12573" width="9.15625" style="12"/>
    <col min="12574" max="12574" width="53" style="12" customWidth="1"/>
    <col min="12575" max="12575" width="14.41796875" style="12" customWidth="1"/>
    <col min="12576" max="12588" width="11" style="12" customWidth="1"/>
    <col min="12589" max="12589" width="12.83984375" style="12" customWidth="1"/>
    <col min="12590" max="12590" width="10" style="12" bestFit="1" customWidth="1"/>
    <col min="12591" max="12829" width="9.15625" style="12"/>
    <col min="12830" max="12830" width="53" style="12" customWidth="1"/>
    <col min="12831" max="12831" width="14.41796875" style="12" customWidth="1"/>
    <col min="12832" max="12844" width="11" style="12" customWidth="1"/>
    <col min="12845" max="12845" width="12.83984375" style="12" customWidth="1"/>
    <col min="12846" max="12846" width="10" style="12" bestFit="1" customWidth="1"/>
    <col min="12847" max="13085" width="9.15625" style="12"/>
    <col min="13086" max="13086" width="53" style="12" customWidth="1"/>
    <col min="13087" max="13087" width="14.41796875" style="12" customWidth="1"/>
    <col min="13088" max="13100" width="11" style="12" customWidth="1"/>
    <col min="13101" max="13101" width="12.83984375" style="12" customWidth="1"/>
    <col min="13102" max="13102" width="10" style="12" bestFit="1" customWidth="1"/>
    <col min="13103" max="13341" width="9.15625" style="12"/>
    <col min="13342" max="13342" width="53" style="12" customWidth="1"/>
    <col min="13343" max="13343" width="14.41796875" style="12" customWidth="1"/>
    <col min="13344" max="13356" width="11" style="12" customWidth="1"/>
    <col min="13357" max="13357" width="12.83984375" style="12" customWidth="1"/>
    <col min="13358" max="13358" width="10" style="12" bestFit="1" customWidth="1"/>
    <col min="13359" max="13597" width="9.15625" style="12"/>
    <col min="13598" max="13598" width="53" style="12" customWidth="1"/>
    <col min="13599" max="13599" width="14.41796875" style="12" customWidth="1"/>
    <col min="13600" max="13612" width="11" style="12" customWidth="1"/>
    <col min="13613" max="13613" width="12.83984375" style="12" customWidth="1"/>
    <col min="13614" max="13614" width="10" style="12" bestFit="1" customWidth="1"/>
    <col min="13615" max="13853" width="9.15625" style="12"/>
    <col min="13854" max="13854" width="53" style="12" customWidth="1"/>
    <col min="13855" max="13855" width="14.41796875" style="12" customWidth="1"/>
    <col min="13856" max="13868" width="11" style="12" customWidth="1"/>
    <col min="13869" max="13869" width="12.83984375" style="12" customWidth="1"/>
    <col min="13870" max="13870" width="10" style="12" bestFit="1" customWidth="1"/>
    <col min="13871" max="14109" width="9.15625" style="12"/>
    <col min="14110" max="14110" width="53" style="12" customWidth="1"/>
    <col min="14111" max="14111" width="14.41796875" style="12" customWidth="1"/>
    <col min="14112" max="14124" width="11" style="12" customWidth="1"/>
    <col min="14125" max="14125" width="12.83984375" style="12" customWidth="1"/>
    <col min="14126" max="14126" width="10" style="12" bestFit="1" customWidth="1"/>
    <col min="14127" max="14365" width="9.15625" style="12"/>
    <col min="14366" max="14366" width="53" style="12" customWidth="1"/>
    <col min="14367" max="14367" width="14.41796875" style="12" customWidth="1"/>
    <col min="14368" max="14380" width="11" style="12" customWidth="1"/>
    <col min="14381" max="14381" width="12.83984375" style="12" customWidth="1"/>
    <col min="14382" max="14382" width="10" style="12" bestFit="1" customWidth="1"/>
    <col min="14383" max="14621" width="9.15625" style="12"/>
    <col min="14622" max="14622" width="53" style="12" customWidth="1"/>
    <col min="14623" max="14623" width="14.41796875" style="12" customWidth="1"/>
    <col min="14624" max="14636" width="11" style="12" customWidth="1"/>
    <col min="14637" max="14637" width="12.83984375" style="12" customWidth="1"/>
    <col min="14638" max="14638" width="10" style="12" bestFit="1" customWidth="1"/>
    <col min="14639" max="14877" width="9.15625" style="12"/>
    <col min="14878" max="14878" width="53" style="12" customWidth="1"/>
    <col min="14879" max="14879" width="14.41796875" style="12" customWidth="1"/>
    <col min="14880" max="14892" width="11" style="12" customWidth="1"/>
    <col min="14893" max="14893" width="12.83984375" style="12" customWidth="1"/>
    <col min="14894" max="14894" width="10" style="12" bestFit="1" customWidth="1"/>
    <col min="14895" max="15133" width="9.15625" style="12"/>
    <col min="15134" max="15134" width="53" style="12" customWidth="1"/>
    <col min="15135" max="15135" width="14.41796875" style="12" customWidth="1"/>
    <col min="15136" max="15148" width="11" style="12" customWidth="1"/>
    <col min="15149" max="15149" width="12.83984375" style="12" customWidth="1"/>
    <col min="15150" max="15150" width="10" style="12" bestFit="1" customWidth="1"/>
    <col min="15151" max="15389" width="9.15625" style="12"/>
    <col min="15390" max="15390" width="53" style="12" customWidth="1"/>
    <col min="15391" max="15391" width="14.41796875" style="12" customWidth="1"/>
    <col min="15392" max="15404" width="11" style="12" customWidth="1"/>
    <col min="15405" max="15405" width="12.83984375" style="12" customWidth="1"/>
    <col min="15406" max="15406" width="10" style="12" bestFit="1" customWidth="1"/>
    <col min="15407" max="15645" width="9.15625" style="12"/>
    <col min="15646" max="15646" width="53" style="12" customWidth="1"/>
    <col min="15647" max="15647" width="14.41796875" style="12" customWidth="1"/>
    <col min="15648" max="15660" width="11" style="12" customWidth="1"/>
    <col min="15661" max="15661" width="12.83984375" style="12" customWidth="1"/>
    <col min="15662" max="15662" width="10" style="12" bestFit="1" customWidth="1"/>
    <col min="15663" max="15901" width="9.15625" style="12"/>
    <col min="15902" max="15902" width="53" style="12" customWidth="1"/>
    <col min="15903" max="15903" width="14.41796875" style="12" customWidth="1"/>
    <col min="15904" max="15916" width="11" style="12" customWidth="1"/>
    <col min="15917" max="15917" width="12.83984375" style="12" customWidth="1"/>
    <col min="15918" max="15918" width="10" style="12" bestFit="1" customWidth="1"/>
    <col min="15919" max="16157" width="9.15625" style="12"/>
    <col min="16158" max="16158" width="53" style="12" customWidth="1"/>
    <col min="16159" max="16159" width="14.41796875" style="12" customWidth="1"/>
    <col min="16160" max="16172" width="11" style="12" customWidth="1"/>
    <col min="16173" max="16173" width="12.83984375" style="12" customWidth="1"/>
    <col min="16174" max="16174" width="10" style="12" bestFit="1" customWidth="1"/>
    <col min="16175" max="16384" width="9.15625" style="12"/>
  </cols>
  <sheetData>
    <row r="1" spans="1:54" customFormat="1" ht="14.4" x14ac:dyDescent="0.55000000000000004">
      <c r="A1" s="373" t="s">
        <v>5</v>
      </c>
      <c r="B1" s="373"/>
      <c r="C1" s="79"/>
      <c r="D1" s="79"/>
      <c r="E1" s="79"/>
      <c r="F1" s="79"/>
      <c r="G1" s="79"/>
      <c r="H1" s="79"/>
      <c r="I1" s="79"/>
      <c r="J1" s="79"/>
      <c r="O1" s="99"/>
      <c r="P1" s="99"/>
      <c r="AC1" s="99"/>
      <c r="AD1" s="99"/>
      <c r="AQ1" s="99"/>
      <c r="AR1" s="99"/>
      <c r="AU1" s="12"/>
    </row>
    <row r="2" spans="1:54" ht="12.75" customHeight="1" x14ac:dyDescent="0.4">
      <c r="A2" s="8"/>
      <c r="B2" s="9"/>
      <c r="C2" s="127" t="str">
        <f>A95</f>
        <v>Срок окупаемости проекта с учетом инвестиций, мес.:</v>
      </c>
      <c r="D2" s="128">
        <f>B95</f>
        <v>31</v>
      </c>
      <c r="E2" s="9"/>
      <c r="F2" s="9"/>
      <c r="G2" s="9"/>
      <c r="H2" s="9"/>
      <c r="I2" s="10"/>
      <c r="J2" s="11"/>
      <c r="K2" s="11"/>
      <c r="L2" s="11"/>
      <c r="M2" s="11"/>
      <c r="N2" s="11"/>
      <c r="O2" s="100"/>
      <c r="P2" s="100"/>
      <c r="Q2" s="9"/>
      <c r="R2" s="59"/>
      <c r="S2" s="9"/>
      <c r="T2" s="9"/>
      <c r="U2" s="9"/>
      <c r="V2" s="9"/>
      <c r="W2" s="10"/>
      <c r="X2" s="11"/>
      <c r="Y2" s="11"/>
      <c r="Z2" s="11"/>
      <c r="AA2" s="11"/>
      <c r="AB2" s="11"/>
      <c r="AC2" s="100"/>
      <c r="AD2" s="100"/>
      <c r="AE2" s="9"/>
      <c r="AF2" s="59"/>
      <c r="AG2" s="9"/>
      <c r="AH2" s="9"/>
      <c r="AI2" s="9"/>
      <c r="AJ2" s="9"/>
      <c r="AK2" s="10"/>
      <c r="AL2" s="11"/>
      <c r="AM2" s="11"/>
      <c r="AN2" s="11"/>
      <c r="AO2" s="11"/>
      <c r="AP2" s="11"/>
      <c r="AQ2" s="100"/>
      <c r="AR2" s="100"/>
      <c r="AS2" s="11"/>
    </row>
    <row r="3" spans="1:54" hidden="1" x14ac:dyDescent="0.4">
      <c r="C3" s="89">
        <f>'Исходные данные'!$Q$2</f>
        <v>1</v>
      </c>
      <c r="D3" s="89">
        <f>IF(C3=12,1,C3+1)</f>
        <v>2</v>
      </c>
      <c r="E3" s="89">
        <f t="shared" ref="E3:AB3" si="0">IF(D3=12,1,D3+1)</f>
        <v>3</v>
      </c>
      <c r="F3" s="89">
        <f t="shared" si="0"/>
        <v>4</v>
      </c>
      <c r="G3" s="89">
        <f t="shared" si="0"/>
        <v>5</v>
      </c>
      <c r="H3" s="89">
        <f t="shared" si="0"/>
        <v>6</v>
      </c>
      <c r="I3" s="89">
        <f t="shared" si="0"/>
        <v>7</v>
      </c>
      <c r="J3" s="89">
        <f t="shared" si="0"/>
        <v>8</v>
      </c>
      <c r="K3" s="89">
        <f t="shared" si="0"/>
        <v>9</v>
      </c>
      <c r="L3" s="89">
        <f t="shared" si="0"/>
        <v>10</v>
      </c>
      <c r="M3" s="89">
        <f t="shared" si="0"/>
        <v>11</v>
      </c>
      <c r="N3" s="89">
        <f t="shared" si="0"/>
        <v>12</v>
      </c>
      <c r="O3" s="102"/>
      <c r="P3" s="102"/>
      <c r="Q3" s="89">
        <f>IF(N3=12,1,N3+1)</f>
        <v>1</v>
      </c>
      <c r="R3" s="89">
        <f t="shared" si="0"/>
        <v>2</v>
      </c>
      <c r="S3" s="89">
        <f t="shared" si="0"/>
        <v>3</v>
      </c>
      <c r="T3" s="89">
        <f t="shared" si="0"/>
        <v>4</v>
      </c>
      <c r="U3" s="89">
        <f t="shared" si="0"/>
        <v>5</v>
      </c>
      <c r="V3" s="89">
        <f t="shared" si="0"/>
        <v>6</v>
      </c>
      <c r="W3" s="89">
        <f t="shared" si="0"/>
        <v>7</v>
      </c>
      <c r="X3" s="89">
        <f t="shared" si="0"/>
        <v>8</v>
      </c>
      <c r="Y3" s="89">
        <f t="shared" si="0"/>
        <v>9</v>
      </c>
      <c r="Z3" s="89">
        <f t="shared" si="0"/>
        <v>10</v>
      </c>
      <c r="AA3" s="89">
        <f t="shared" si="0"/>
        <v>11</v>
      </c>
      <c r="AB3" s="89">
        <f t="shared" si="0"/>
        <v>12</v>
      </c>
      <c r="AC3" s="102"/>
      <c r="AD3" s="102"/>
      <c r="AE3" s="89">
        <f>IF(AB3=12,1,AB3+1)</f>
        <v>1</v>
      </c>
      <c r="AF3" s="89">
        <f t="shared" ref="AF3:AP3" si="1">IF(AE3=12,1,AE3+1)</f>
        <v>2</v>
      </c>
      <c r="AG3" s="89">
        <f t="shared" si="1"/>
        <v>3</v>
      </c>
      <c r="AH3" s="89">
        <f t="shared" si="1"/>
        <v>4</v>
      </c>
      <c r="AI3" s="89">
        <f t="shared" si="1"/>
        <v>5</v>
      </c>
      <c r="AJ3" s="89">
        <f t="shared" si="1"/>
        <v>6</v>
      </c>
      <c r="AK3" s="89">
        <f t="shared" si="1"/>
        <v>7</v>
      </c>
      <c r="AL3" s="89">
        <f t="shared" si="1"/>
        <v>8</v>
      </c>
      <c r="AM3" s="89">
        <f t="shared" si="1"/>
        <v>9</v>
      </c>
      <c r="AN3" s="89">
        <f t="shared" si="1"/>
        <v>10</v>
      </c>
      <c r="AO3" s="89">
        <f t="shared" si="1"/>
        <v>11</v>
      </c>
      <c r="AP3" s="89">
        <f t="shared" si="1"/>
        <v>12</v>
      </c>
      <c r="AQ3" s="102"/>
      <c r="AR3" s="102"/>
    </row>
    <row r="4" spans="1:54" x14ac:dyDescent="0.4">
      <c r="B4" s="90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103"/>
      <c r="P4" s="103"/>
      <c r="Q4" s="91"/>
      <c r="R4" s="91"/>
      <c r="S4" s="91"/>
      <c r="T4" s="91"/>
      <c r="U4" s="91"/>
      <c r="V4" s="91"/>
      <c r="W4" s="91"/>
      <c r="X4" s="91"/>
      <c r="Y4" s="91"/>
      <c r="AC4" s="103"/>
      <c r="AD4" s="103"/>
      <c r="AE4" s="91"/>
      <c r="AF4" s="91"/>
      <c r="AG4" s="91"/>
      <c r="AH4" s="91"/>
      <c r="AI4" s="91"/>
      <c r="AJ4" s="91"/>
      <c r="AK4" s="91"/>
      <c r="AL4" s="91"/>
      <c r="AM4" s="91"/>
      <c r="AQ4" s="103"/>
      <c r="AR4" s="103"/>
      <c r="AU4" s="87"/>
    </row>
    <row r="5" spans="1:54" s="13" customFormat="1" ht="14.25" customHeight="1" thickBot="1" x14ac:dyDescent="0.4">
      <c r="B5" s="69"/>
      <c r="C5" s="376" t="s">
        <v>32</v>
      </c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8"/>
      <c r="Q5" s="379" t="s">
        <v>33</v>
      </c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1"/>
      <c r="AE5" s="382" t="s">
        <v>35</v>
      </c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U5" s="87"/>
    </row>
    <row r="6" spans="1:54" s="13" customFormat="1" ht="11.1" thickTop="1" thickBot="1" x14ac:dyDescent="0.4">
      <c r="A6" s="14" t="s">
        <v>6</v>
      </c>
      <c r="B6" s="17"/>
      <c r="C6" s="93" t="str">
        <f>CHOOSE(C3,'Исходные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D6" s="93" t="str">
        <f>CHOOSE(D3,'Исходные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E6" s="93" t="str">
        <f>CHOOSE(E3,'Исходные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F6" s="93" t="str">
        <f>CHOOSE(F3,'Исходные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G6" s="93" t="str">
        <f>CHOOSE(G3,'Исходные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H6" s="93" t="str">
        <f>CHOOSE(H3,'Исходные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I6" s="93" t="str">
        <f>CHOOSE(I3,'Исходные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J6" s="93" t="str">
        <f>CHOOSE(J3,'Исходные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K6" s="93" t="str">
        <f>CHOOSE(K3,'Исходные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L6" s="93" t="str">
        <f>CHOOSE(L3,'Исходные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M6" s="93" t="str">
        <f>CHOOSE(M3,'Исходные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N6" s="93" t="str">
        <f>CHOOSE(N3,'Исходные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O6" s="104"/>
      <c r="P6" s="104"/>
      <c r="Q6" s="93" t="str">
        <f>CHOOSE(Q3,'Исходные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R6" s="93" t="str">
        <f>CHOOSE(R3,'Исходные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S6" s="93" t="str">
        <f>CHOOSE(S3,'Исходные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T6" s="93" t="str">
        <f>CHOOSE(T3,'Исходные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U6" s="93" t="str">
        <f>CHOOSE(U3,'Исходные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V6" s="93" t="str">
        <f>CHOOSE(V3,'Исходные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W6" s="93" t="str">
        <f>CHOOSE(W3,'Исходные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X6" s="93" t="str">
        <f>CHOOSE(X3,'Исходные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Y6" s="93" t="str">
        <f>CHOOSE(Y3,'Исходные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Z6" s="93" t="str">
        <f>CHOOSE(Z3,'Исходные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A6" s="93" t="str">
        <f>CHOOSE(AA3,'Исходные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B6" s="93" t="str">
        <f>CHOOSE(AB3,'Исходные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C6" s="104"/>
      <c r="AD6" s="104"/>
      <c r="AE6" s="93" t="str">
        <f>CHOOSE(AE3,'Исходные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AF6" s="93" t="str">
        <f>CHOOSE(AF3,'Исходные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AG6" s="93" t="str">
        <f>CHOOSE(AG3,'Исходные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AH6" s="93" t="str">
        <f>CHOOSE(AH3,'Исходные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AI6" s="93" t="str">
        <f>CHOOSE(AI3,'Исходные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AJ6" s="93" t="str">
        <f>CHOOSE(AJ3,'Исходные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AK6" s="93" t="str">
        <f>CHOOSE(AK3,'Исходные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AL6" s="93" t="str">
        <f>CHOOSE(AL3,'Исходные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AM6" s="93" t="str">
        <f>CHOOSE(AM3,'Исходные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AN6" s="93" t="str">
        <f>CHOOSE(AN3,'Исходные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O6" s="93" t="str">
        <f>CHOOSE(AO3,'Исходные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P6" s="93" t="str">
        <f>CHOOSE(AP3,'Исходные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Q6" s="104"/>
      <c r="AR6" s="104"/>
      <c r="AS6" s="16"/>
      <c r="AU6" s="87"/>
    </row>
    <row r="7" spans="1:54" s="63" customFormat="1" ht="10.8" outlineLevel="1" thickTop="1" x14ac:dyDescent="0.35">
      <c r="A7" s="88" t="s">
        <v>79</v>
      </c>
      <c r="B7" s="62"/>
      <c r="C7" s="87">
        <f>CHOOSE('Обобщенный расчет'!$N$1,'Исходные данные'!$D49,'Исходные данные'!$E49,'Исходные данные'!$F49)</f>
        <v>1</v>
      </c>
      <c r="D7" s="87">
        <f>CHOOSE('Обобщенный расчет'!$N$1,'Исходные данные'!$D50,'Исходные данные'!$E50,'Исходные данные'!$F50)</f>
        <v>1</v>
      </c>
      <c r="E7" s="87">
        <f>CHOOSE('Обобщенный расчет'!$N$1,'Исходные данные'!$D51,'Исходные данные'!$E51,'Исходные данные'!$F51)</f>
        <v>1</v>
      </c>
      <c r="F7" s="87">
        <f>CHOOSE('Обобщенный расчет'!$N$1,'Исходные данные'!$D52,'Исходные данные'!$E52,'Исходные данные'!$F52)</f>
        <v>1</v>
      </c>
      <c r="G7" s="87">
        <f>CHOOSE('Обобщенный расчет'!$N$1,'Исходные данные'!$D53,'Исходные данные'!$E53,'Исходные данные'!$F53)</f>
        <v>1</v>
      </c>
      <c r="H7" s="87">
        <f>CHOOSE('Обобщенный расчет'!$N$1,'Исходные данные'!$D54,'Исходные данные'!$E54,'Исходные данные'!$F54)</f>
        <v>1</v>
      </c>
      <c r="I7" s="87">
        <f>CHOOSE('Обобщенный расчет'!$N$1,'Исходные данные'!$D55,'Исходные данные'!$E55,'Исходные данные'!$F55)</f>
        <v>1</v>
      </c>
      <c r="J7" s="87">
        <f>CHOOSE('Обобщенный расчет'!$N$1,'Исходные данные'!$D56,'Исходные данные'!$E56,'Исходные данные'!$F56)</f>
        <v>1</v>
      </c>
      <c r="K7" s="87">
        <f>CHOOSE('Обобщенный расчет'!$N$1,'Исходные данные'!$D57,'Исходные данные'!$E57,'Исходные данные'!$F57)</f>
        <v>1</v>
      </c>
      <c r="L7" s="87">
        <f>CHOOSE('Обобщенный расчет'!$N$1,'Исходные данные'!$D58,'Исходные данные'!$E58,'Исходные данные'!$F58)</f>
        <v>1</v>
      </c>
      <c r="M7" s="87">
        <f>CHOOSE('Обобщенный расчет'!$N$1,'Исходные данные'!$D59,'Исходные данные'!$E59,'Исходные данные'!$F59)</f>
        <v>1</v>
      </c>
      <c r="N7" s="87">
        <f>CHOOSE('Обобщенный расчет'!$N$1,'Исходные данные'!$D60,'Исходные данные'!$E60,'Исходные данные'!$F60)</f>
        <v>1</v>
      </c>
      <c r="O7" s="169"/>
      <c r="P7" s="169"/>
      <c r="Q7" s="87">
        <f>'Исходные данные'!$C$63</f>
        <v>1.2</v>
      </c>
      <c r="R7" s="87">
        <f>'Исходные данные'!$C$63</f>
        <v>1.2</v>
      </c>
      <c r="S7" s="87">
        <f>'Исходные данные'!$C$63</f>
        <v>1.2</v>
      </c>
      <c r="T7" s="87">
        <f>'Исходные данные'!$C$63</f>
        <v>1.2</v>
      </c>
      <c r="U7" s="87">
        <f>'Исходные данные'!$C$63</f>
        <v>1.2</v>
      </c>
      <c r="V7" s="87">
        <f>'Исходные данные'!$C$63</f>
        <v>1.2</v>
      </c>
      <c r="W7" s="87">
        <f>'Исходные данные'!$C$63</f>
        <v>1.2</v>
      </c>
      <c r="X7" s="87">
        <f>'Исходные данные'!$C$63</f>
        <v>1.2</v>
      </c>
      <c r="Y7" s="87">
        <f>'Исходные данные'!$C$63</f>
        <v>1.2</v>
      </c>
      <c r="Z7" s="87">
        <f>'Исходные данные'!$C$63</f>
        <v>1.2</v>
      </c>
      <c r="AA7" s="87">
        <f>'Исходные данные'!$C$63</f>
        <v>1.2</v>
      </c>
      <c r="AB7" s="87">
        <f>'Исходные данные'!$C$63</f>
        <v>1.2</v>
      </c>
      <c r="AC7" s="169"/>
      <c r="AD7" s="169"/>
      <c r="AE7" s="87">
        <f>'Исходные данные'!$C$64</f>
        <v>1.4</v>
      </c>
      <c r="AF7" s="87">
        <f>'Исходные данные'!$C$64</f>
        <v>1.4</v>
      </c>
      <c r="AG7" s="87">
        <f>'Исходные данные'!$C$64</f>
        <v>1.4</v>
      </c>
      <c r="AH7" s="87">
        <f>'Исходные данные'!$C$64</f>
        <v>1.4</v>
      </c>
      <c r="AI7" s="87">
        <f>'Исходные данные'!$C$64</f>
        <v>1.4</v>
      </c>
      <c r="AJ7" s="87">
        <f>'Исходные данные'!$C$64</f>
        <v>1.4</v>
      </c>
      <c r="AK7" s="87">
        <f>'Исходные данные'!$C$64</f>
        <v>1.4</v>
      </c>
      <c r="AL7" s="87">
        <f>'Исходные данные'!$C$64</f>
        <v>1.4</v>
      </c>
      <c r="AM7" s="87">
        <f>'Исходные данные'!$C$64</f>
        <v>1.4</v>
      </c>
      <c r="AN7" s="87">
        <f>'Исходные данные'!$C$64</f>
        <v>1.4</v>
      </c>
      <c r="AO7" s="87">
        <f>'Исходные данные'!$C$64</f>
        <v>1.4</v>
      </c>
      <c r="AP7" s="87">
        <f>'Исходные данные'!$C$64</f>
        <v>1.4</v>
      </c>
      <c r="AQ7" s="169"/>
      <c r="AR7" s="169"/>
      <c r="AS7" s="87"/>
      <c r="AU7" s="87"/>
    </row>
    <row r="8" spans="1:54" s="63" customFormat="1" ht="10.5" outlineLevel="1" x14ac:dyDescent="0.35">
      <c r="A8" s="88" t="s">
        <v>126</v>
      </c>
      <c r="B8" s="62"/>
      <c r="C8" s="87">
        <f>IF('Обобщенный расчет'!$N$1=1,CHOOSE(C3,'Исходные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расчет'!$N$1=2,CHOOSE(C3,'Исходные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расчет'!$N$1=3,CHOOSE(C3,'Исходные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1.08</v>
      </c>
      <c r="D8" s="87">
        <f>IF('Обобщенный расчет'!$N$1=1,CHOOSE(D3,'Исходные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расчет'!$N$1=2,CHOOSE(D3,'Исходные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расчет'!$N$1=3,CHOOSE(D3,'Исходные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1.0900000000000001</v>
      </c>
      <c r="E8" s="87">
        <f>IF('Обобщенный расчет'!$N$1=1,CHOOSE(E3,'Исходные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расчет'!$N$1=2,CHOOSE(E3,'Исходные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расчет'!$N$1=3,CHOOSE(E3,'Исходные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1.31</v>
      </c>
      <c r="F8" s="87">
        <f>IF('Обобщенный расчет'!$N$1=1,CHOOSE(F3,'Исходные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расчет'!$N$1=2,CHOOSE(F3,'Исходные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расчет'!$N$1=3,CHOOSE(F3,'Исходные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1.1299999999999999</v>
      </c>
      <c r="G8" s="87">
        <f>IF('Обобщенный расчет'!$N$1=1,CHOOSE(G3,'Исходные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расчет'!$N$1=2,CHOOSE(G3,'Исходные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расчет'!$N$1=3,CHOOSE(G3,'Исходные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1.1000000000000001</v>
      </c>
      <c r="H8" s="87">
        <f>IF('Обобщенный расчет'!$N$1=1,CHOOSE(H3,'Исходные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расчет'!$N$1=2,CHOOSE(H3,'Исходные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расчет'!$N$1=3,CHOOSE(H3,'Исходные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0.92</v>
      </c>
      <c r="I8" s="87">
        <f>IF('Обобщенный расчет'!$N$1=1,CHOOSE(I3,'Исходные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расчет'!$N$1=2,CHOOSE(I3,'Исходные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расчет'!$N$1=3,CHOOSE(I3,'Исходные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0.93</v>
      </c>
      <c r="J8" s="87">
        <f>IF('Обобщенный расчет'!$N$1=1,CHOOSE(J3,'Исходные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расчет'!$N$1=2,CHOOSE(J3,'Исходные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расчет'!$N$1=3,CHOOSE(J3,'Исходные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0.85</v>
      </c>
      <c r="K8" s="87">
        <f>IF('Обобщенный расчет'!$N$1=1,CHOOSE(K3,'Исходные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расчет'!$N$1=2,CHOOSE(K3,'Исходные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расчет'!$N$1=3,CHOOSE(K3,'Исходные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1.02</v>
      </c>
      <c r="L8" s="87">
        <f>IF('Обобщенный расчет'!$N$1=1,CHOOSE(L3,'Исходные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расчет'!$N$1=2,CHOOSE(L3,'Исходные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расчет'!$N$1=3,CHOOSE(L3,'Исходные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0.87</v>
      </c>
      <c r="M8" s="87">
        <f>IF('Обобщенный расчет'!$N$1=1,CHOOSE(M3,'Исходные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расчет'!$N$1=2,CHOOSE(M3,'Исходные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расчет'!$N$1=3,CHOOSE(M3,'Исходные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</v>
      </c>
      <c r="N8" s="87">
        <f>IF('Обобщенный расчет'!$N$1=1,CHOOSE(N3,'Исходные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расчет'!$N$1=2,CHOOSE(N3,'Исходные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расчет'!$N$1=3,CHOOSE(N3,'Исходные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</v>
      </c>
      <c r="O8" s="169"/>
      <c r="P8" s="169"/>
      <c r="Q8" s="87">
        <f>IF('Обобщенный расчет'!$N$1=1,CHOOSE(Q3,'Исходные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расчет'!$N$1=2,CHOOSE(Q3,'Исходные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расчет'!$N$1=3,CHOOSE(Q3,'Исходные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1.08</v>
      </c>
      <c r="R8" s="87">
        <f>IF('Обобщенный расчет'!$N$1=1,CHOOSE(R3,'Исходные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расчет'!$N$1=2,CHOOSE(R3,'Исходные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расчет'!$N$1=3,CHOOSE(R3,'Исходные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1.0900000000000001</v>
      </c>
      <c r="S8" s="87">
        <f>IF('Обобщенный расчет'!$N$1=1,CHOOSE(S3,'Исходные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расчет'!$N$1=2,CHOOSE(S3,'Исходные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расчет'!$N$1=3,CHOOSE(S3,'Исходные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1.31</v>
      </c>
      <c r="T8" s="87">
        <f>IF('Обобщенный расчет'!$N$1=1,CHOOSE(T3,'Исходные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расчет'!$N$1=2,CHOOSE(T3,'Исходные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расчет'!$N$1=3,CHOOSE(T3,'Исходные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1.1299999999999999</v>
      </c>
      <c r="U8" s="87">
        <f>IF('Обобщенный расчет'!$N$1=1,CHOOSE(U3,'Исходные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расчет'!$N$1=2,CHOOSE(U3,'Исходные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расчет'!$N$1=3,CHOOSE(U3,'Исходные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1.1000000000000001</v>
      </c>
      <c r="V8" s="87">
        <f>IF('Обобщенный расчет'!$N$1=1,CHOOSE(V3,'Исходные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расчет'!$N$1=2,CHOOSE(V3,'Исходные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расчет'!$N$1=3,CHOOSE(V3,'Исходные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0.92</v>
      </c>
      <c r="W8" s="87">
        <f>IF('Обобщенный расчет'!$N$1=1,CHOOSE(W3,'Исходные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расчет'!$N$1=2,CHOOSE(W3,'Исходные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расчет'!$N$1=3,CHOOSE(W3,'Исходные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0.93</v>
      </c>
      <c r="X8" s="87">
        <f>IF('Обобщенный расчет'!$N$1=1,CHOOSE(X3,'Исходные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расчет'!$N$1=2,CHOOSE(X3,'Исходные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расчет'!$N$1=3,CHOOSE(X3,'Исходные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0.85</v>
      </c>
      <c r="Y8" s="87">
        <f>IF('Обобщенный расчет'!$N$1=1,CHOOSE(Y3,'Исходные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расчет'!$N$1=2,CHOOSE(Y3,'Исходные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расчет'!$N$1=3,CHOOSE(Y3,'Исходные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1.02</v>
      </c>
      <c r="Z8" s="87">
        <f>IF('Обобщенный расчет'!$N$1=1,CHOOSE(Z3,'Исходные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расчет'!$N$1=2,CHOOSE(Z3,'Исходные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расчет'!$N$1=3,CHOOSE(Z3,'Исходные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0.87</v>
      </c>
      <c r="AA8" s="87">
        <f>IF('Обобщенный расчет'!$N$1=1,CHOOSE(AA3,'Исходные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расчет'!$N$1=2,CHOOSE(AA3,'Исходные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расчет'!$N$1=3,CHOOSE(AA3,'Исходные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</v>
      </c>
      <c r="AB8" s="87">
        <f>IF('Обобщенный расчет'!$N$1=1,CHOOSE(AB3,'Исходные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расчет'!$N$1=2,CHOOSE(AB3,'Исходные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расчет'!$N$1=3,CHOOSE(AB3,'Исходные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</v>
      </c>
      <c r="AC8" s="169"/>
      <c r="AD8" s="169"/>
      <c r="AE8" s="87">
        <f>IF('Обобщенный расчет'!$N$1=1,CHOOSE(AE3,'Исходные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расчет'!$N$1=2,CHOOSE(AE3,'Исходные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расчет'!$N$1=3,CHOOSE(AE3,'Исходные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1.08</v>
      </c>
      <c r="AF8" s="87">
        <f>IF('Обобщенный расчет'!$N$1=1,CHOOSE(AF3,'Исходные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расчет'!$N$1=2,CHOOSE(AF3,'Исходные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расчет'!$N$1=3,CHOOSE(AF3,'Исходные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1.0900000000000001</v>
      </c>
      <c r="AG8" s="87">
        <f>IF('Обобщенный расчет'!$N$1=1,CHOOSE(AG3,'Исходные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расчет'!$N$1=2,CHOOSE(AG3,'Исходные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расчет'!$N$1=3,CHOOSE(AG3,'Исходные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1.31</v>
      </c>
      <c r="AH8" s="87">
        <f>IF('Обобщенный расчет'!$N$1=1,CHOOSE(AH3,'Исходные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расчет'!$N$1=2,CHOOSE(AH3,'Исходные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расчет'!$N$1=3,CHOOSE(AH3,'Исходные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1.1299999999999999</v>
      </c>
      <c r="AI8" s="87">
        <f>IF('Обобщенный расчет'!$N$1=1,CHOOSE(AI3,'Исходные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расчет'!$N$1=2,CHOOSE(AI3,'Исходные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расчет'!$N$1=3,CHOOSE(AI3,'Исходные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1.1000000000000001</v>
      </c>
      <c r="AJ8" s="87">
        <f>IF('Обобщенный расчет'!$N$1=1,CHOOSE(AJ3,'Исходные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расчет'!$N$1=2,CHOOSE(AJ3,'Исходные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расчет'!$N$1=3,CHOOSE(AJ3,'Исходные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0.92</v>
      </c>
      <c r="AK8" s="87">
        <f>IF('Обобщенный расчет'!$N$1=1,CHOOSE(AK3,'Исходные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расчет'!$N$1=2,CHOOSE(AK3,'Исходные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расчет'!$N$1=3,CHOOSE(AK3,'Исходные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0.93</v>
      </c>
      <c r="AL8" s="87">
        <f>IF('Обобщенный расчет'!$N$1=1,CHOOSE(AL3,'Исходные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расчет'!$N$1=2,CHOOSE(AL3,'Исходные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расчет'!$N$1=3,CHOOSE(AL3,'Исходные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0.85</v>
      </c>
      <c r="AM8" s="87">
        <f>IF('Обобщенный расчет'!$N$1=1,CHOOSE(AM3,'Исходные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расчет'!$N$1=2,CHOOSE(AM3,'Исходные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расчет'!$N$1=3,CHOOSE(AM3,'Исходные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1.02</v>
      </c>
      <c r="AN8" s="87">
        <f>IF('Обобщенный расчет'!$N$1=1,CHOOSE(AN3,'Исходные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расчет'!$N$1=2,CHOOSE(AN3,'Исходные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расчет'!$N$1=3,CHOOSE(AN3,'Исходные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0.87</v>
      </c>
      <c r="AO8" s="87">
        <f>IF('Обобщенный расчет'!$N$1=1,CHOOSE(AO3,'Исходные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расчет'!$N$1=2,CHOOSE(AO3,'Исходные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расчет'!$N$1=3,CHOOSE(AO3,'Исходные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0.9</v>
      </c>
      <c r="AP8" s="87">
        <f>IF('Обобщенный расчет'!$N$1=1,CHOOSE(AP3,'Исходные данные'!$I$49,'Исходные данные'!$I$50,'Исходные данные'!$I$51,'Исходные данные'!$I$52,'Исходные данные'!$I$53,'Исходные данные'!$I$54,'Исходные данные'!$I$55,'Исходные данные'!$I$56,'Исходные данные'!$I$57,'Исходные данные'!$I$58,'Исходные данные'!$I$59,'Исходные данные'!$I$60),0)+IF('Обобщенный расчет'!$N$1=2,CHOOSE(AP3,'Исходные данные'!$J$49,'Исходные данные'!$J$50,'Исходные данные'!$J$51,'Исходные данные'!$J$52,'Исходные данные'!$J$53,'Исходные данные'!$J$54,'Исходные данные'!$J$55,'Исходные данные'!$J$56,'Исходные данные'!$J$57,'Исходные данные'!$J$58,'Исходные данные'!$J$59,'Исходные данные'!$J$60),0)+IF('Обобщенный расчет'!$N$1=3,CHOOSE(AP3,'Исходные данные'!$K$49,'Исходные данные'!$K$50,'Исходные данные'!$K$51,'Исходные данные'!$K$52,'Исходные данные'!$K$53,'Исходные данные'!$K$54,'Исходные данные'!$K$55,'Исходные данные'!$K$56,'Исходные данные'!$K$57,'Исходные данные'!$K$58,'Исходные данные'!$K$59,'Исходные данные'!$K$60),0)</f>
        <v>0.8</v>
      </c>
      <c r="AQ8" s="169"/>
      <c r="AR8" s="169"/>
      <c r="AS8" s="87"/>
      <c r="AU8" s="87"/>
    </row>
    <row r="9" spans="1:54" s="63" customFormat="1" ht="10.5" outlineLevel="1" x14ac:dyDescent="0.35">
      <c r="A9" s="88" t="s">
        <v>81</v>
      </c>
      <c r="B9" s="62"/>
      <c r="C9" s="87">
        <v>1</v>
      </c>
      <c r="D9" s="87">
        <v>1</v>
      </c>
      <c r="E9" s="87">
        <v>1</v>
      </c>
      <c r="F9" s="87">
        <v>1</v>
      </c>
      <c r="G9" s="87">
        <v>1</v>
      </c>
      <c r="H9" s="87">
        <v>1</v>
      </c>
      <c r="I9" s="87">
        <v>1</v>
      </c>
      <c r="J9" s="87">
        <v>1</v>
      </c>
      <c r="K9" s="87">
        <v>1</v>
      </c>
      <c r="L9" s="87">
        <v>1</v>
      </c>
      <c r="M9" s="87">
        <v>1</v>
      </c>
      <c r="N9" s="87">
        <v>1</v>
      </c>
      <c r="O9" s="169"/>
      <c r="P9" s="169"/>
      <c r="Q9" s="87">
        <f>'Исходные данные'!$D$63</f>
        <v>1.1000000000000001</v>
      </c>
      <c r="R9" s="87">
        <f>'Исходные данные'!$D$63</f>
        <v>1.1000000000000001</v>
      </c>
      <c r="S9" s="87">
        <f>'Исходные данные'!$D$63</f>
        <v>1.1000000000000001</v>
      </c>
      <c r="T9" s="87">
        <f>'Исходные данные'!$D$63</f>
        <v>1.1000000000000001</v>
      </c>
      <c r="U9" s="87">
        <f>'Исходные данные'!$D$63</f>
        <v>1.1000000000000001</v>
      </c>
      <c r="V9" s="87">
        <f>'Исходные данные'!$D$63</f>
        <v>1.1000000000000001</v>
      </c>
      <c r="W9" s="87">
        <f>'Исходные данные'!$D$63</f>
        <v>1.1000000000000001</v>
      </c>
      <c r="X9" s="87">
        <f>'Исходные данные'!$D$63</f>
        <v>1.1000000000000001</v>
      </c>
      <c r="Y9" s="87">
        <f>'Исходные данные'!$D$63</f>
        <v>1.1000000000000001</v>
      </c>
      <c r="Z9" s="87">
        <f>'Исходные данные'!$D$63</f>
        <v>1.1000000000000001</v>
      </c>
      <c r="AA9" s="87">
        <f>'Исходные данные'!$D$63</f>
        <v>1.1000000000000001</v>
      </c>
      <c r="AB9" s="87">
        <f>'Исходные данные'!$D$63</f>
        <v>1.1000000000000001</v>
      </c>
      <c r="AC9" s="169"/>
      <c r="AD9" s="169"/>
      <c r="AE9" s="87">
        <f>'Исходные данные'!$D$64</f>
        <v>1.2</v>
      </c>
      <c r="AF9" s="87">
        <f>'Исходные данные'!$D$64</f>
        <v>1.2</v>
      </c>
      <c r="AG9" s="87">
        <f>'Исходные данные'!$D$64</f>
        <v>1.2</v>
      </c>
      <c r="AH9" s="87">
        <f>'Исходные данные'!$D$64</f>
        <v>1.2</v>
      </c>
      <c r="AI9" s="87">
        <f>'Исходные данные'!$D$64</f>
        <v>1.2</v>
      </c>
      <c r="AJ9" s="87">
        <f>'Исходные данные'!$D$64</f>
        <v>1.2</v>
      </c>
      <c r="AK9" s="87">
        <f>'Исходные данные'!$D$64</f>
        <v>1.2</v>
      </c>
      <c r="AL9" s="87">
        <f>'Исходные данные'!$D$64</f>
        <v>1.2</v>
      </c>
      <c r="AM9" s="87">
        <f>'Исходные данные'!$D$64</f>
        <v>1.2</v>
      </c>
      <c r="AN9" s="87">
        <f>'Исходные данные'!$D$64</f>
        <v>1.2</v>
      </c>
      <c r="AO9" s="87">
        <f>'Исходные данные'!$D$64</f>
        <v>1.2</v>
      </c>
      <c r="AP9" s="87">
        <f>'Исходные данные'!$D$64</f>
        <v>1.2</v>
      </c>
      <c r="AQ9" s="169"/>
      <c r="AR9" s="169"/>
      <c r="AS9" s="87"/>
      <c r="AU9" s="87"/>
    </row>
    <row r="10" spans="1:54" s="170" customFormat="1" outlineLevel="1" x14ac:dyDescent="0.4">
      <c r="A10" s="63" t="s">
        <v>80</v>
      </c>
      <c r="B10" s="63"/>
      <c r="C10" s="87">
        <v>1</v>
      </c>
      <c r="D10" s="87">
        <v>1</v>
      </c>
      <c r="E10" s="87">
        <v>1</v>
      </c>
      <c r="F10" s="87">
        <v>1</v>
      </c>
      <c r="G10" s="87">
        <v>1</v>
      </c>
      <c r="H10" s="87">
        <v>1</v>
      </c>
      <c r="I10" s="87">
        <v>1</v>
      </c>
      <c r="J10" s="87">
        <v>1</v>
      </c>
      <c r="K10" s="87">
        <v>1</v>
      </c>
      <c r="L10" s="87">
        <v>1</v>
      </c>
      <c r="M10" s="87">
        <v>1</v>
      </c>
      <c r="N10" s="87">
        <v>1</v>
      </c>
      <c r="O10" s="169"/>
      <c r="P10" s="169"/>
      <c r="Q10" s="87">
        <f>'Исходные данные'!$F$63</f>
        <v>1.05</v>
      </c>
      <c r="R10" s="87">
        <f>'Исходные данные'!$F$63</f>
        <v>1.05</v>
      </c>
      <c r="S10" s="87">
        <f>'Исходные данные'!$F$63</f>
        <v>1.05</v>
      </c>
      <c r="T10" s="87">
        <f>'Исходные данные'!$F$63</f>
        <v>1.05</v>
      </c>
      <c r="U10" s="87">
        <f>'Исходные данные'!$F$63</f>
        <v>1.05</v>
      </c>
      <c r="V10" s="87">
        <f>'Исходные данные'!$F$63</f>
        <v>1.05</v>
      </c>
      <c r="W10" s="87">
        <f>'Исходные данные'!$F$63</f>
        <v>1.05</v>
      </c>
      <c r="X10" s="87">
        <f>'Исходные данные'!$F$63</f>
        <v>1.05</v>
      </c>
      <c r="Y10" s="87">
        <f>'Исходные данные'!$F$63</f>
        <v>1.05</v>
      </c>
      <c r="Z10" s="87">
        <f>'Исходные данные'!$F$63</f>
        <v>1.05</v>
      </c>
      <c r="AA10" s="87">
        <f>'Исходные данные'!$F$63</f>
        <v>1.05</v>
      </c>
      <c r="AB10" s="87">
        <f>'Исходные данные'!$F$63</f>
        <v>1.05</v>
      </c>
      <c r="AC10" s="169"/>
      <c r="AD10" s="169"/>
      <c r="AE10" s="87">
        <f>'Исходные данные'!$F$64</f>
        <v>1.1000000000000001</v>
      </c>
      <c r="AF10" s="87">
        <f>'Исходные данные'!$F$64</f>
        <v>1.1000000000000001</v>
      </c>
      <c r="AG10" s="87">
        <f>'Исходные данные'!$F$64</f>
        <v>1.1000000000000001</v>
      </c>
      <c r="AH10" s="87">
        <f>'Исходные данные'!$F$64</f>
        <v>1.1000000000000001</v>
      </c>
      <c r="AI10" s="87">
        <f>'Исходные данные'!$F$64</f>
        <v>1.1000000000000001</v>
      </c>
      <c r="AJ10" s="87">
        <f>'Исходные данные'!$F$64</f>
        <v>1.1000000000000001</v>
      </c>
      <c r="AK10" s="87">
        <f>'Исходные данные'!$F$64</f>
        <v>1.1000000000000001</v>
      </c>
      <c r="AL10" s="87">
        <f>'Исходные данные'!$F$64</f>
        <v>1.1000000000000001</v>
      </c>
      <c r="AM10" s="87">
        <f>'Исходные данные'!$F$64</f>
        <v>1.1000000000000001</v>
      </c>
      <c r="AN10" s="87">
        <f>'Исходные данные'!$F$64</f>
        <v>1.1000000000000001</v>
      </c>
      <c r="AO10" s="87">
        <f>'Исходные данные'!$F$64</f>
        <v>1.1000000000000001</v>
      </c>
      <c r="AP10" s="87">
        <f>'Исходные данные'!$F$64</f>
        <v>1.1000000000000001</v>
      </c>
      <c r="AQ10" s="169"/>
      <c r="AR10" s="169"/>
      <c r="AU10" s="87"/>
    </row>
    <row r="11" spans="1:54" s="208" customFormat="1" ht="10.5" outlineLevel="1" x14ac:dyDescent="0.35">
      <c r="A11" s="204" t="s">
        <v>115</v>
      </c>
      <c r="B11" s="205"/>
      <c r="C11" s="206">
        <v>1</v>
      </c>
      <c r="D11" s="206">
        <v>1</v>
      </c>
      <c r="E11" s="206">
        <v>1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>
        <v>1</v>
      </c>
      <c r="L11" s="206">
        <v>1</v>
      </c>
      <c r="M11" s="206">
        <v>1</v>
      </c>
      <c r="N11" s="206">
        <v>1</v>
      </c>
      <c r="O11" s="207"/>
      <c r="P11" s="207"/>
      <c r="Q11" s="206">
        <f>'Исходные данные'!$G$63</f>
        <v>1</v>
      </c>
      <c r="R11" s="206">
        <f>'Исходные данные'!$G$63</f>
        <v>1</v>
      </c>
      <c r="S11" s="206">
        <f>'Исходные данные'!$G$63</f>
        <v>1</v>
      </c>
      <c r="T11" s="206">
        <f>'Исходные данные'!$G$63</f>
        <v>1</v>
      </c>
      <c r="U11" s="206">
        <f>'Исходные данные'!$G$63</f>
        <v>1</v>
      </c>
      <c r="V11" s="206">
        <f>'Исходные данные'!$G$63</f>
        <v>1</v>
      </c>
      <c r="W11" s="206">
        <f>'Исходные данные'!$G$63</f>
        <v>1</v>
      </c>
      <c r="X11" s="206">
        <f>'Исходные данные'!$G$63</f>
        <v>1</v>
      </c>
      <c r="Y11" s="206">
        <f>'Исходные данные'!$G$63</f>
        <v>1</v>
      </c>
      <c r="Z11" s="206">
        <f>'Исходные данные'!$G$63</f>
        <v>1</v>
      </c>
      <c r="AA11" s="206">
        <f>'Исходные данные'!$G$63</f>
        <v>1</v>
      </c>
      <c r="AB11" s="206">
        <f>'Исходные данные'!$G$63</f>
        <v>1</v>
      </c>
      <c r="AC11" s="207"/>
      <c r="AD11" s="207"/>
      <c r="AE11" s="206">
        <f>'Исходные данные'!$G$64</f>
        <v>1</v>
      </c>
      <c r="AF11" s="206">
        <f>'Исходные данные'!$G$64</f>
        <v>1</v>
      </c>
      <c r="AG11" s="206">
        <f>'Исходные данные'!$G$64</f>
        <v>1</v>
      </c>
      <c r="AH11" s="206">
        <f>'Исходные данные'!$G$64</f>
        <v>1</v>
      </c>
      <c r="AI11" s="206">
        <f>'Исходные данные'!$G$64</f>
        <v>1</v>
      </c>
      <c r="AJ11" s="206">
        <f>'Исходные данные'!$G$64</f>
        <v>1</v>
      </c>
      <c r="AK11" s="206">
        <f>'Исходные данные'!$G$64</f>
        <v>1</v>
      </c>
      <c r="AL11" s="206">
        <f>'Исходные данные'!$G$64</f>
        <v>1</v>
      </c>
      <c r="AM11" s="206">
        <f>'Исходные данные'!$G$64</f>
        <v>1</v>
      </c>
      <c r="AN11" s="206">
        <f>'Исходные данные'!$G$64</f>
        <v>1</v>
      </c>
      <c r="AO11" s="206">
        <f>'Исходные данные'!$G$64</f>
        <v>1</v>
      </c>
      <c r="AP11" s="206">
        <f>'Исходные данные'!$G$64</f>
        <v>1</v>
      </c>
      <c r="AQ11" s="207"/>
      <c r="AR11" s="207"/>
      <c r="AS11" s="206"/>
      <c r="AU11" s="87"/>
      <c r="AV11" s="206"/>
      <c r="AX11" s="209"/>
      <c r="AY11" s="209"/>
      <c r="AZ11" s="209"/>
      <c r="BA11" s="209"/>
      <c r="BB11" s="209"/>
    </row>
    <row r="12" spans="1:54" s="210" customFormat="1" outlineLevel="1" x14ac:dyDescent="0.4">
      <c r="A12" s="208" t="s">
        <v>116</v>
      </c>
      <c r="B12" s="208"/>
      <c r="C12" s="206">
        <v>1</v>
      </c>
      <c r="D12" s="206">
        <v>1</v>
      </c>
      <c r="E12" s="206">
        <v>1</v>
      </c>
      <c r="F12" s="206">
        <v>1</v>
      </c>
      <c r="G12" s="206">
        <v>1</v>
      </c>
      <c r="H12" s="206">
        <v>1</v>
      </c>
      <c r="I12" s="206">
        <v>1</v>
      </c>
      <c r="J12" s="206">
        <v>1</v>
      </c>
      <c r="K12" s="206">
        <v>1</v>
      </c>
      <c r="L12" s="206">
        <v>1</v>
      </c>
      <c r="M12" s="206">
        <v>1</v>
      </c>
      <c r="N12" s="206">
        <v>1</v>
      </c>
      <c r="O12" s="207"/>
      <c r="P12" s="207"/>
      <c r="Q12" s="206">
        <f>'Исходные данные'!$H$63</f>
        <v>1</v>
      </c>
      <c r="R12" s="206">
        <f>'Исходные данные'!$H$63</f>
        <v>1</v>
      </c>
      <c r="S12" s="206">
        <f>'Исходные данные'!$H$63</f>
        <v>1</v>
      </c>
      <c r="T12" s="206">
        <f>'Исходные данные'!$H$63</f>
        <v>1</v>
      </c>
      <c r="U12" s="206">
        <f>'Исходные данные'!$H$63</f>
        <v>1</v>
      </c>
      <c r="V12" s="206">
        <f>'Исходные данные'!$H$63</f>
        <v>1</v>
      </c>
      <c r="W12" s="206">
        <f>'Исходные данные'!$H$63</f>
        <v>1</v>
      </c>
      <c r="X12" s="206">
        <f>'Исходные данные'!$H$63</f>
        <v>1</v>
      </c>
      <c r="Y12" s="206">
        <f>'Исходные данные'!$H$63</f>
        <v>1</v>
      </c>
      <c r="Z12" s="206">
        <f>'Исходные данные'!$H$63</f>
        <v>1</v>
      </c>
      <c r="AA12" s="206">
        <f>'Исходные данные'!$H$63</f>
        <v>1</v>
      </c>
      <c r="AB12" s="206">
        <f>'Исходные данные'!$H$63</f>
        <v>1</v>
      </c>
      <c r="AC12" s="207"/>
      <c r="AD12" s="207"/>
      <c r="AE12" s="206">
        <f>'Исходные данные'!$H$64</f>
        <v>1</v>
      </c>
      <c r="AF12" s="206">
        <f>'Исходные данные'!$H$64</f>
        <v>1</v>
      </c>
      <c r="AG12" s="206">
        <f>'Исходные данные'!$H$64</f>
        <v>1</v>
      </c>
      <c r="AH12" s="206">
        <f>'Исходные данные'!$H$64</f>
        <v>1</v>
      </c>
      <c r="AI12" s="206">
        <f>'Исходные данные'!$H$64</f>
        <v>1</v>
      </c>
      <c r="AJ12" s="206">
        <f>'Исходные данные'!$H$64</f>
        <v>1</v>
      </c>
      <c r="AK12" s="206">
        <f>'Исходные данные'!$H$64</f>
        <v>1</v>
      </c>
      <c r="AL12" s="206">
        <f>'Исходные данные'!$H$64</f>
        <v>1</v>
      </c>
      <c r="AM12" s="206">
        <f>'Исходные данные'!$H$64</f>
        <v>1</v>
      </c>
      <c r="AN12" s="206">
        <f>'Исходные данные'!$H$64</f>
        <v>1</v>
      </c>
      <c r="AO12" s="206">
        <f>'Исходные данные'!$H$64</f>
        <v>1</v>
      </c>
      <c r="AP12" s="206">
        <f>'Исходные данные'!$H$64</f>
        <v>1</v>
      </c>
      <c r="AQ12" s="207"/>
      <c r="AR12" s="207"/>
      <c r="AU12" s="87"/>
      <c r="AV12" s="206"/>
      <c r="AX12" s="209"/>
      <c r="AY12" s="209"/>
      <c r="AZ12" s="209"/>
      <c r="BA12" s="209"/>
      <c r="BB12" s="209"/>
    </row>
    <row r="13" spans="1:54" s="208" customFormat="1" ht="10.5" outlineLevel="1" x14ac:dyDescent="0.35">
      <c r="A13" s="204" t="s">
        <v>117</v>
      </c>
      <c r="B13" s="205"/>
      <c r="C13" s="206">
        <v>1</v>
      </c>
      <c r="D13" s="206">
        <v>1</v>
      </c>
      <c r="E13" s="206">
        <v>1</v>
      </c>
      <c r="F13" s="206">
        <v>1</v>
      </c>
      <c r="G13" s="206">
        <v>1</v>
      </c>
      <c r="H13" s="206">
        <v>1</v>
      </c>
      <c r="I13" s="206">
        <v>1</v>
      </c>
      <c r="J13" s="206">
        <v>1</v>
      </c>
      <c r="K13" s="206">
        <v>1</v>
      </c>
      <c r="L13" s="206">
        <v>1</v>
      </c>
      <c r="M13" s="206">
        <v>1</v>
      </c>
      <c r="N13" s="206">
        <v>1</v>
      </c>
      <c r="O13" s="207"/>
      <c r="P13" s="207"/>
      <c r="Q13" s="206">
        <f>'Исходные данные'!$I$63</f>
        <v>1</v>
      </c>
      <c r="R13" s="206">
        <f>'Исходные данные'!$I$63</f>
        <v>1</v>
      </c>
      <c r="S13" s="206">
        <f>'Исходные данные'!$I$63</f>
        <v>1</v>
      </c>
      <c r="T13" s="206">
        <f>'Исходные данные'!$I$63</f>
        <v>1</v>
      </c>
      <c r="U13" s="206">
        <f>'Исходные данные'!$I$63</f>
        <v>1</v>
      </c>
      <c r="V13" s="206">
        <f>'Исходные данные'!$I$63</f>
        <v>1</v>
      </c>
      <c r="W13" s="206">
        <f>'Исходные данные'!$I$63</f>
        <v>1</v>
      </c>
      <c r="X13" s="206">
        <f>'Исходные данные'!$I$63</f>
        <v>1</v>
      </c>
      <c r="Y13" s="206">
        <f>'Исходные данные'!$I$63</f>
        <v>1</v>
      </c>
      <c r="Z13" s="206">
        <f>'Исходные данные'!$I$63</f>
        <v>1</v>
      </c>
      <c r="AA13" s="206">
        <f>'Исходные данные'!$I$63</f>
        <v>1</v>
      </c>
      <c r="AB13" s="206">
        <f>'Исходные данные'!$I$63</f>
        <v>1</v>
      </c>
      <c r="AC13" s="207"/>
      <c r="AD13" s="207"/>
      <c r="AE13" s="206">
        <f>'Исходные данные'!$I$64</f>
        <v>1</v>
      </c>
      <c r="AF13" s="206">
        <f>'Исходные данные'!$I$64</f>
        <v>1</v>
      </c>
      <c r="AG13" s="206">
        <f>'Исходные данные'!$I$64</f>
        <v>1</v>
      </c>
      <c r="AH13" s="206">
        <f>'Исходные данные'!$I$64</f>
        <v>1</v>
      </c>
      <c r="AI13" s="206">
        <f>'Исходные данные'!$I$64</f>
        <v>1</v>
      </c>
      <c r="AJ13" s="206">
        <f>'Исходные данные'!$I$64</f>
        <v>1</v>
      </c>
      <c r="AK13" s="206">
        <f>'Исходные данные'!$I$64</f>
        <v>1</v>
      </c>
      <c r="AL13" s="206">
        <f>'Исходные данные'!$I$64</f>
        <v>1</v>
      </c>
      <c r="AM13" s="206">
        <f>'Исходные данные'!$I$64</f>
        <v>1</v>
      </c>
      <c r="AN13" s="206">
        <f>'Исходные данные'!$I$64</f>
        <v>1</v>
      </c>
      <c r="AO13" s="206">
        <f>'Исходные данные'!$I$64</f>
        <v>1</v>
      </c>
      <c r="AP13" s="206">
        <f>'Исходные данные'!$I$64</f>
        <v>1</v>
      </c>
      <c r="AQ13" s="207"/>
      <c r="AR13" s="207"/>
      <c r="AS13" s="206"/>
      <c r="AU13" s="87"/>
      <c r="AX13" s="209"/>
      <c r="AY13" s="209"/>
      <c r="AZ13" s="209"/>
      <c r="BA13" s="209"/>
      <c r="BB13" s="209"/>
    </row>
    <row r="14" spans="1:54" s="13" customFormat="1" ht="10.5" outlineLevel="1" x14ac:dyDescent="0.4">
      <c r="A14" s="13" t="s">
        <v>82</v>
      </c>
      <c r="O14" s="105"/>
      <c r="P14" s="105"/>
      <c r="AC14" s="105"/>
      <c r="AD14" s="105"/>
      <c r="AQ14" s="105"/>
      <c r="AR14" s="105"/>
      <c r="AU14" s="87"/>
    </row>
    <row r="15" spans="1:54" s="13" customFormat="1" ht="13.5" customHeight="1" thickBot="1" x14ac:dyDescent="0.4">
      <c r="A15" s="69"/>
      <c r="B15" s="69"/>
      <c r="C15" s="379" t="s">
        <v>32</v>
      </c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1"/>
      <c r="Q15" s="379" t="s">
        <v>33</v>
      </c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1"/>
      <c r="AE15" s="382" t="s">
        <v>35</v>
      </c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74" t="s">
        <v>42</v>
      </c>
      <c r="AU15" s="87"/>
    </row>
    <row r="16" spans="1:54" s="20" customFormat="1" ht="21.6" thickTop="1" thickBot="1" x14ac:dyDescent="0.4">
      <c r="A16" s="18" t="s">
        <v>7</v>
      </c>
      <c r="B16" s="19"/>
      <c r="C16" s="92" t="str">
        <f t="shared" ref="C16:N16" si="2">C$6</f>
        <v>январь</v>
      </c>
      <c r="D16" s="92" t="str">
        <f t="shared" si="2"/>
        <v>февраль</v>
      </c>
      <c r="E16" s="92" t="str">
        <f t="shared" si="2"/>
        <v>март</v>
      </c>
      <c r="F16" s="92" t="str">
        <f t="shared" si="2"/>
        <v>апрель</v>
      </c>
      <c r="G16" s="92" t="str">
        <f t="shared" si="2"/>
        <v>май</v>
      </c>
      <c r="H16" s="92" t="str">
        <f t="shared" si="2"/>
        <v>июнь</v>
      </c>
      <c r="I16" s="92" t="str">
        <f t="shared" si="2"/>
        <v>июль</v>
      </c>
      <c r="J16" s="92" t="str">
        <f t="shared" si="2"/>
        <v>август</v>
      </c>
      <c r="K16" s="92" t="str">
        <f t="shared" si="2"/>
        <v>сентябрь</v>
      </c>
      <c r="L16" s="92" t="str">
        <f t="shared" si="2"/>
        <v>октябрь</v>
      </c>
      <c r="M16" s="92" t="str">
        <f t="shared" si="2"/>
        <v>ноябрь</v>
      </c>
      <c r="N16" s="92" t="str">
        <f t="shared" si="2"/>
        <v>декабрь</v>
      </c>
      <c r="O16" s="106" t="s">
        <v>36</v>
      </c>
      <c r="P16" s="106" t="s">
        <v>37</v>
      </c>
      <c r="Q16" s="92" t="str">
        <f t="shared" ref="Q16:AB16" si="3">Q$6</f>
        <v>январь</v>
      </c>
      <c r="R16" s="92" t="str">
        <f t="shared" si="3"/>
        <v>февраль</v>
      </c>
      <c r="S16" s="92" t="str">
        <f t="shared" si="3"/>
        <v>март</v>
      </c>
      <c r="T16" s="92" t="str">
        <f t="shared" si="3"/>
        <v>апрель</v>
      </c>
      <c r="U16" s="92" t="str">
        <f t="shared" si="3"/>
        <v>май</v>
      </c>
      <c r="V16" s="92" t="str">
        <f t="shared" si="3"/>
        <v>июнь</v>
      </c>
      <c r="W16" s="92" t="str">
        <f t="shared" si="3"/>
        <v>июль</v>
      </c>
      <c r="X16" s="92" t="str">
        <f t="shared" si="3"/>
        <v>август</v>
      </c>
      <c r="Y16" s="92" t="str">
        <f t="shared" si="3"/>
        <v>сентябрь</v>
      </c>
      <c r="Z16" s="92" t="str">
        <f t="shared" si="3"/>
        <v>октябрь</v>
      </c>
      <c r="AA16" s="92" t="str">
        <f t="shared" si="3"/>
        <v>ноябрь</v>
      </c>
      <c r="AB16" s="92" t="str">
        <f t="shared" si="3"/>
        <v>декабрь</v>
      </c>
      <c r="AC16" s="106" t="s">
        <v>39</v>
      </c>
      <c r="AD16" s="106" t="s">
        <v>38</v>
      </c>
      <c r="AE16" s="92" t="str">
        <f t="shared" ref="AE16:AP16" si="4">AE$6</f>
        <v>январь</v>
      </c>
      <c r="AF16" s="92" t="str">
        <f t="shared" si="4"/>
        <v>февраль</v>
      </c>
      <c r="AG16" s="92" t="str">
        <f t="shared" si="4"/>
        <v>март</v>
      </c>
      <c r="AH16" s="92" t="str">
        <f t="shared" si="4"/>
        <v>апрель</v>
      </c>
      <c r="AI16" s="92" t="str">
        <f t="shared" si="4"/>
        <v>май</v>
      </c>
      <c r="AJ16" s="92" t="str">
        <f t="shared" si="4"/>
        <v>июнь</v>
      </c>
      <c r="AK16" s="92" t="str">
        <f t="shared" si="4"/>
        <v>июль</v>
      </c>
      <c r="AL16" s="92" t="str">
        <f t="shared" si="4"/>
        <v>август</v>
      </c>
      <c r="AM16" s="92" t="str">
        <f t="shared" si="4"/>
        <v>сентябрь</v>
      </c>
      <c r="AN16" s="92" t="str">
        <f t="shared" si="4"/>
        <v>октябрь</v>
      </c>
      <c r="AO16" s="92" t="str">
        <f t="shared" si="4"/>
        <v>ноябрь</v>
      </c>
      <c r="AP16" s="92" t="str">
        <f t="shared" si="4"/>
        <v>декабрь</v>
      </c>
      <c r="AQ16" s="106" t="s">
        <v>40</v>
      </c>
      <c r="AR16" s="106" t="s">
        <v>41</v>
      </c>
      <c r="AS16" s="375"/>
      <c r="AU16" s="87"/>
    </row>
    <row r="17" spans="1:48" s="35" customFormat="1" ht="10.8" thickTop="1" x14ac:dyDescent="0.35">
      <c r="A17" s="180" t="str">
        <f>'Исходные данные'!A13</f>
        <v>Утренний абонемент (7:00-17:00)</v>
      </c>
      <c r="B17" s="21" t="str">
        <f>CHOOSE('Исходные данные'!$O$2,'Исходные данные'!$P$2,'Исходные данные'!$P$3,'Исходные данные'!$P$4,'Исходные данные'!$P$5)</f>
        <v>UAH</v>
      </c>
      <c r="C17" s="33">
        <f>C$7*C$8*'Обобщенный расчет'!$I$8</f>
        <v>54529.200000000004</v>
      </c>
      <c r="D17" s="33">
        <f>D$7*D$8*'Обобщенный расчет'!$I$8</f>
        <v>55034.100000000006</v>
      </c>
      <c r="E17" s="33">
        <f>E$7*E$8*'Обобщенный расчет'!$I$8</f>
        <v>66141.900000000009</v>
      </c>
      <c r="F17" s="33">
        <f>F$7*F$8*'Обобщенный расчет'!$I$8</f>
        <v>57053.7</v>
      </c>
      <c r="G17" s="33">
        <f>G$7*G$8*'Обобщенный расчет'!$I$8</f>
        <v>55539.000000000007</v>
      </c>
      <c r="H17" s="33">
        <f>H$7*H$8*'Обобщенный расчет'!$I$8</f>
        <v>46450.8</v>
      </c>
      <c r="I17" s="33">
        <f>I$7*I$8*'Обобщенный расчет'!$I$8</f>
        <v>46955.700000000004</v>
      </c>
      <c r="J17" s="33">
        <f>J$7*J$8*'Обобщенный расчет'!$I$8</f>
        <v>42916.5</v>
      </c>
      <c r="K17" s="33">
        <f>K$7*K$8*'Обобщенный расчет'!$I$8</f>
        <v>51499.8</v>
      </c>
      <c r="L17" s="33">
        <f>L$7*L$8*'Обобщенный расчет'!$I$8</f>
        <v>43926.3</v>
      </c>
      <c r="M17" s="33">
        <f>M$7*M$8*'Обобщенный расчет'!$I$8</f>
        <v>45441</v>
      </c>
      <c r="N17" s="33">
        <f>N$7*N$8*'Обобщенный расчет'!$I$8</f>
        <v>40392</v>
      </c>
      <c r="O17" s="107">
        <f t="shared" ref="O17:O22" si="5">SUM(C17:N17)</f>
        <v>605880</v>
      </c>
      <c r="P17" s="107">
        <f t="shared" ref="P17:P22" si="6">O17/12</f>
        <v>50490</v>
      </c>
      <c r="Q17" s="33">
        <f>Q$7*Q$8*'Обобщенный расчет'!$I$8</f>
        <v>65435.040000000001</v>
      </c>
      <c r="R17" s="33">
        <f>R$7*R$8*'Обобщенный расчет'!$I$8</f>
        <v>66040.92</v>
      </c>
      <c r="S17" s="33">
        <f>S$7*S$8*'Обобщенный расчет'!$I$8</f>
        <v>79370.28</v>
      </c>
      <c r="T17" s="33">
        <f>T$7*T$8*'Обобщенный расчет'!$I$8</f>
        <v>68464.439999999988</v>
      </c>
      <c r="U17" s="33">
        <f>U$7*U$8*'Обобщенный расчет'!$I$8</f>
        <v>66646.8</v>
      </c>
      <c r="V17" s="33">
        <f>V$7*V$8*'Обобщенный расчет'!$I$8</f>
        <v>55740.960000000006</v>
      </c>
      <c r="W17" s="33">
        <f>W$7*W$8*'Обобщенный расчет'!$I$8</f>
        <v>56346.840000000004</v>
      </c>
      <c r="X17" s="33">
        <f>X$7*X$8*'Обобщенный расчет'!$I$8</f>
        <v>51499.8</v>
      </c>
      <c r="Y17" s="33">
        <f>Y$7*Y$8*'Обобщенный расчет'!$I$8</f>
        <v>61799.76</v>
      </c>
      <c r="Z17" s="33">
        <f>Z$7*Z$8*'Обобщенный расчет'!$I$8</f>
        <v>52711.560000000005</v>
      </c>
      <c r="AA17" s="33">
        <f>AA$7*AA$8*'Обобщенный расчет'!$I$8</f>
        <v>54529.200000000004</v>
      </c>
      <c r="AB17" s="33">
        <f>AB$7*AB$8*'Обобщенный расчет'!$I$8</f>
        <v>48470.400000000001</v>
      </c>
      <c r="AC17" s="107">
        <f t="shared" ref="AC17:AC22" si="7">SUM(Q17:AB17)</f>
        <v>727056</v>
      </c>
      <c r="AD17" s="107">
        <f t="shared" ref="AD17:AD22" si="8">AC17/12</f>
        <v>60588</v>
      </c>
      <c r="AE17" s="33">
        <f>AE$7*AE$8*'Обобщенный расчет'!$I$8</f>
        <v>76340.88</v>
      </c>
      <c r="AF17" s="33">
        <f>AF$7*AF$8*'Обобщенный расчет'!$I$8</f>
        <v>77047.740000000005</v>
      </c>
      <c r="AG17" s="33">
        <f>AG$7*AG$8*'Обобщенный расчет'!$I$8</f>
        <v>92598.659999999989</v>
      </c>
      <c r="AH17" s="33">
        <f>AH$7*AH$8*'Обобщенный расчет'!$I$8</f>
        <v>79875.179999999993</v>
      </c>
      <c r="AI17" s="33">
        <f>AI$7*AI$8*'Обобщенный расчет'!$I$8</f>
        <v>77754.600000000006</v>
      </c>
      <c r="AJ17" s="33">
        <f>AJ$7*AJ$8*'Обобщенный расчет'!$I$8</f>
        <v>65031.12</v>
      </c>
      <c r="AK17" s="33">
        <f>AK$7*AK$8*'Обобщенный расчет'!$I$8</f>
        <v>65737.98</v>
      </c>
      <c r="AL17" s="33">
        <f>AL$7*AL$8*'Обобщенный расчет'!$I$8</f>
        <v>60083.1</v>
      </c>
      <c r="AM17" s="33">
        <f>AM$7*AM$8*'Обобщенный расчет'!$I$8</f>
        <v>72099.72</v>
      </c>
      <c r="AN17" s="33">
        <f>AN$7*AN$8*'Обобщенный расчет'!$I$8</f>
        <v>61496.82</v>
      </c>
      <c r="AO17" s="33">
        <f>AO$7*AO$8*'Обобщенный расчет'!$I$8</f>
        <v>63617.4</v>
      </c>
      <c r="AP17" s="33">
        <f>AP$7*AP$8*'Обобщенный расчет'!$I$8</f>
        <v>56548.799999999996</v>
      </c>
      <c r="AQ17" s="107">
        <f t="shared" ref="AQ17:AQ22" si="9">SUM(AE17:AP17)</f>
        <v>848231.99999999988</v>
      </c>
      <c r="AR17" s="107">
        <f t="shared" ref="AR17:AR22" si="10">AQ17/12</f>
        <v>70685.999999999985</v>
      </c>
      <c r="AS17" s="114">
        <f t="shared" ref="AS17:AS22" si="11">O17+AC17+AQ17</f>
        <v>2181168</v>
      </c>
      <c r="AT17" s="34"/>
      <c r="AU17" s="87">
        <f>CHOOSE('Обобщенный расчет'!$N$1,'Исходные данные'!$D62,'Исходные данные'!$E62,'Исходные данные'!$F62)</f>
        <v>0</v>
      </c>
    </row>
    <row r="18" spans="1:48" s="38" customFormat="1" ht="10.5" x14ac:dyDescent="0.35">
      <c r="A18" s="181" t="str">
        <f>'Исходные данные'!A14</f>
        <v>Дневной абонемент (12:00-15:00)</v>
      </c>
      <c r="B18" s="24" t="str">
        <f>CHOOSE('Исходные данные'!$O$2,'Исходные данные'!$P$2,'Исходные данные'!$P$3,'Исходные данные'!$P$4,'Исходные данные'!$P$5)</f>
        <v>UAH</v>
      </c>
      <c r="C18" s="36">
        <f>C$7*C$8*'Обобщенный расчет'!$I$9</f>
        <v>5130</v>
      </c>
      <c r="D18" s="36">
        <f>D$7*D$8*'Обобщенный расчет'!$I$9</f>
        <v>5177.5</v>
      </c>
      <c r="E18" s="36">
        <f>E$7*E$8*'Обобщенный расчет'!$I$9</f>
        <v>6222.5</v>
      </c>
      <c r="F18" s="36">
        <f>F$7*F$8*'Обобщенный расчет'!$I$9</f>
        <v>5367.4999999999991</v>
      </c>
      <c r="G18" s="36">
        <f>G$7*G$8*'Обобщенный расчет'!$I$9</f>
        <v>5225</v>
      </c>
      <c r="H18" s="36">
        <f>H$7*H$8*'Обобщенный расчет'!$I$9</f>
        <v>4370</v>
      </c>
      <c r="I18" s="36">
        <f>I$7*I$8*'Обобщенный расчет'!$I$9</f>
        <v>4417.5</v>
      </c>
      <c r="J18" s="36">
        <f>J$7*J$8*'Обобщенный расчет'!$I$9</f>
        <v>4037.5</v>
      </c>
      <c r="K18" s="36">
        <f>K$7*K$8*'Обобщенный расчет'!$I$9</f>
        <v>4845</v>
      </c>
      <c r="L18" s="36">
        <f>L$7*L$8*'Обобщенный расчет'!$I$9</f>
        <v>4132.5</v>
      </c>
      <c r="M18" s="36">
        <f>M$7*M$8*'Обобщенный расчет'!$I$9</f>
        <v>4275</v>
      </c>
      <c r="N18" s="36">
        <f>N$7*N$8*'Обобщенный расчет'!$I$9</f>
        <v>3800</v>
      </c>
      <c r="O18" s="52">
        <f t="shared" si="5"/>
        <v>57000</v>
      </c>
      <c r="P18" s="52">
        <f t="shared" si="6"/>
        <v>4750</v>
      </c>
      <c r="Q18" s="36">
        <f>Q$7*Q$8*'Обобщенный расчет'!$I$9</f>
        <v>6156</v>
      </c>
      <c r="R18" s="36">
        <f>R$7*R$8*'Обобщенный расчет'!$I$9</f>
        <v>6213</v>
      </c>
      <c r="S18" s="36">
        <f>S$7*S$8*'Обобщенный расчет'!$I$9</f>
        <v>7467</v>
      </c>
      <c r="T18" s="36">
        <f>T$7*T$8*'Обобщенный расчет'!$I$9</f>
        <v>6440.9999999999991</v>
      </c>
      <c r="U18" s="36">
        <f>U$7*U$8*'Обобщенный расчет'!$I$9</f>
        <v>6270</v>
      </c>
      <c r="V18" s="36">
        <f>V$7*V$8*'Обобщенный расчет'!$I$9</f>
        <v>5244</v>
      </c>
      <c r="W18" s="36">
        <f>W$7*W$8*'Обобщенный расчет'!$I$9</f>
        <v>5301.0000000000009</v>
      </c>
      <c r="X18" s="36">
        <f>X$7*X$8*'Обобщенный расчет'!$I$9</f>
        <v>4845</v>
      </c>
      <c r="Y18" s="36">
        <f>Y$7*Y$8*'Обобщенный расчет'!$I$9</f>
        <v>5814</v>
      </c>
      <c r="Z18" s="36">
        <f>Z$7*Z$8*'Обобщенный расчет'!$I$9</f>
        <v>4959</v>
      </c>
      <c r="AA18" s="36">
        <f>AA$7*AA$8*'Обобщенный расчет'!$I$9</f>
        <v>5130</v>
      </c>
      <c r="AB18" s="36">
        <f>AB$7*AB$8*'Обобщенный расчет'!$I$9</f>
        <v>4560</v>
      </c>
      <c r="AC18" s="52">
        <f t="shared" si="7"/>
        <v>68400</v>
      </c>
      <c r="AD18" s="52">
        <f t="shared" si="8"/>
        <v>5700</v>
      </c>
      <c r="AE18" s="36">
        <f>AE$7*AE$8*'Обобщенный расчет'!$I$9</f>
        <v>7182</v>
      </c>
      <c r="AF18" s="36">
        <f>AF$7*AF$8*'Обобщенный расчет'!$I$9</f>
        <v>7248.5</v>
      </c>
      <c r="AG18" s="36">
        <f>AG$7*AG$8*'Обобщенный расчет'!$I$9</f>
        <v>8711.5</v>
      </c>
      <c r="AH18" s="36">
        <f>AH$7*AH$8*'Обобщенный расчет'!$I$9</f>
        <v>7514.4999999999991</v>
      </c>
      <c r="AI18" s="36">
        <f>AI$7*AI$8*'Обобщенный расчет'!$I$9</f>
        <v>7315</v>
      </c>
      <c r="AJ18" s="36">
        <f>AJ$7*AJ$8*'Обобщенный расчет'!$I$9</f>
        <v>6118</v>
      </c>
      <c r="AK18" s="36">
        <f>AK$7*AK$8*'Обобщенный расчет'!$I$9</f>
        <v>6184.5</v>
      </c>
      <c r="AL18" s="36">
        <f>AL$7*AL$8*'Обобщенный расчет'!$I$9</f>
        <v>5652.5</v>
      </c>
      <c r="AM18" s="36">
        <f>AM$7*AM$8*'Обобщенный расчет'!$I$9</f>
        <v>6783</v>
      </c>
      <c r="AN18" s="36">
        <f>AN$7*AN$8*'Обобщенный расчет'!$I$9</f>
        <v>5785.5</v>
      </c>
      <c r="AO18" s="36">
        <f>AO$7*AO$8*'Обобщенный расчет'!$I$9</f>
        <v>5985</v>
      </c>
      <c r="AP18" s="36">
        <f>AP$7*AP$8*'Обобщенный расчет'!$I$9</f>
        <v>5319.9999999999991</v>
      </c>
      <c r="AQ18" s="52">
        <f t="shared" si="9"/>
        <v>79800</v>
      </c>
      <c r="AR18" s="52">
        <f t="shared" si="10"/>
        <v>6650</v>
      </c>
      <c r="AS18" s="114">
        <f t="shared" si="11"/>
        <v>205200</v>
      </c>
      <c r="AT18" s="37"/>
      <c r="AU18" s="87">
        <f>CHOOSE('Обобщенный расчет'!$N$1,'Исходные данные'!$D63,'Исходные данные'!$E63,'Исходные данные'!$F63)</f>
        <v>0</v>
      </c>
      <c r="AV18" s="35"/>
    </row>
    <row r="19" spans="1:48" s="35" customFormat="1" ht="10.5" x14ac:dyDescent="0.35">
      <c r="A19" s="180" t="str">
        <f>'Исходные данные'!A15</f>
        <v>Безлим.абонемент (7:00-23:00)</v>
      </c>
      <c r="B19" s="21" t="str">
        <f>CHOOSE('Исходные данные'!$O$2,'Исходные данные'!$P$2,'Исходные данные'!$P$3,'Исходные данные'!$P$4,'Исходные данные'!$P$5)</f>
        <v>UAH</v>
      </c>
      <c r="C19" s="33">
        <f>C$7*C$8*'Обобщенный расчет'!$I$10</f>
        <v>78472.800000000003</v>
      </c>
      <c r="D19" s="33">
        <f>D$7*D$8*'Обобщенный расчет'!$I$10</f>
        <v>79199.400000000009</v>
      </c>
      <c r="E19" s="33">
        <f>E$7*E$8*'Обобщенный расчет'!$I$10</f>
        <v>95184.6</v>
      </c>
      <c r="F19" s="33">
        <f>F$7*F$8*'Обобщенный расчет'!$I$10</f>
        <v>82105.799999999988</v>
      </c>
      <c r="G19" s="33">
        <f>G$7*G$8*'Обобщенный расчет'!$I$10</f>
        <v>79926</v>
      </c>
      <c r="H19" s="33">
        <f>H$7*H$8*'Обобщенный расчет'!$I$10</f>
        <v>66847.199999999997</v>
      </c>
      <c r="I19" s="33">
        <f>I$7*I$8*'Обобщенный расчет'!$I$10</f>
        <v>67573.8</v>
      </c>
      <c r="J19" s="33">
        <f>J$7*J$8*'Обобщенный расчет'!$I$10</f>
        <v>61761</v>
      </c>
      <c r="K19" s="33">
        <f>K$7*K$8*'Обобщенный расчет'!$I$10</f>
        <v>74113.2</v>
      </c>
      <c r="L19" s="33">
        <f>L$7*L$8*'Обобщенный расчет'!$I$10</f>
        <v>63214.2</v>
      </c>
      <c r="M19" s="33">
        <f>M$7*M$8*'Обобщенный расчет'!$I$10</f>
        <v>65394</v>
      </c>
      <c r="N19" s="33">
        <f>N$7*N$8*'Обобщенный расчет'!$I$10</f>
        <v>58128</v>
      </c>
      <c r="O19" s="107">
        <f t="shared" si="5"/>
        <v>871919.99999999988</v>
      </c>
      <c r="P19" s="107">
        <f t="shared" si="6"/>
        <v>72659.999999999985</v>
      </c>
      <c r="Q19" s="33">
        <f>Q$7*Q$8*'Обобщенный расчет'!$I$10</f>
        <v>94167.360000000001</v>
      </c>
      <c r="R19" s="33">
        <f>R$7*R$8*'Обобщенный расчет'!$I$10</f>
        <v>95039.28</v>
      </c>
      <c r="S19" s="33">
        <f>S$7*S$8*'Обобщенный расчет'!$I$10</f>
        <v>114221.52</v>
      </c>
      <c r="T19" s="33">
        <f>T$7*T$8*'Обобщенный расчет'!$I$10</f>
        <v>98526.959999999992</v>
      </c>
      <c r="U19" s="33">
        <f>U$7*U$8*'Обобщенный расчет'!$I$10</f>
        <v>95911.200000000012</v>
      </c>
      <c r="V19" s="33">
        <f>V$7*V$8*'Обобщенный расчет'!$I$10</f>
        <v>80216.640000000014</v>
      </c>
      <c r="W19" s="33">
        <f>W$7*W$8*'Обобщенный расчет'!$I$10</f>
        <v>81088.560000000012</v>
      </c>
      <c r="X19" s="33">
        <f>X$7*X$8*'Обобщенный расчет'!$I$10</f>
        <v>74113.2</v>
      </c>
      <c r="Y19" s="33">
        <f>Y$7*Y$8*'Обобщенный расчет'!$I$10</f>
        <v>88935.84</v>
      </c>
      <c r="Z19" s="33">
        <f>Z$7*Z$8*'Обобщенный расчет'!$I$10</f>
        <v>75857.040000000008</v>
      </c>
      <c r="AA19" s="33">
        <f>AA$7*AA$8*'Обобщенный расчет'!$I$10</f>
        <v>78472.800000000003</v>
      </c>
      <c r="AB19" s="33">
        <f>AB$7*AB$8*'Обобщенный расчет'!$I$10</f>
        <v>69753.599999999991</v>
      </c>
      <c r="AC19" s="107">
        <f t="shared" si="7"/>
        <v>1046304</v>
      </c>
      <c r="AD19" s="107">
        <f t="shared" si="8"/>
        <v>87192</v>
      </c>
      <c r="AE19" s="33">
        <f>AE$7*AE$8*'Обобщенный расчет'!$I$10</f>
        <v>109861.92</v>
      </c>
      <c r="AF19" s="33">
        <f>AF$7*AF$8*'Обобщенный расчет'!$I$10</f>
        <v>110879.16</v>
      </c>
      <c r="AG19" s="33">
        <f>AG$7*AG$8*'Обобщенный расчет'!$I$10</f>
        <v>133258.44</v>
      </c>
      <c r="AH19" s="33">
        <f>AH$7*AH$8*'Обобщенный расчет'!$I$10</f>
        <v>114948.12</v>
      </c>
      <c r="AI19" s="33">
        <f>AI$7*AI$8*'Обобщенный расчет'!$I$10</f>
        <v>111896.40000000001</v>
      </c>
      <c r="AJ19" s="33">
        <f>AJ$7*AJ$8*'Обобщенный расчет'!$I$10</f>
        <v>93586.08</v>
      </c>
      <c r="AK19" s="33">
        <f>AK$7*AK$8*'Обобщенный расчет'!$I$10</f>
        <v>94603.32</v>
      </c>
      <c r="AL19" s="33">
        <f>AL$7*AL$8*'Обобщенный расчет'!$I$10</f>
        <v>86465.4</v>
      </c>
      <c r="AM19" s="33">
        <f>AM$7*AM$8*'Обобщенный расчет'!$I$10</f>
        <v>103758.48</v>
      </c>
      <c r="AN19" s="33">
        <f>AN$7*AN$8*'Обобщенный расчет'!$I$10</f>
        <v>88499.88</v>
      </c>
      <c r="AO19" s="33">
        <f>AO$7*AO$8*'Обобщенный расчет'!$I$10</f>
        <v>91551.6</v>
      </c>
      <c r="AP19" s="33">
        <f>AP$7*AP$8*'Обобщенный расчет'!$I$10</f>
        <v>81379.199999999997</v>
      </c>
      <c r="AQ19" s="107">
        <f t="shared" si="9"/>
        <v>1220688</v>
      </c>
      <c r="AR19" s="107">
        <f t="shared" si="10"/>
        <v>101724</v>
      </c>
      <c r="AS19" s="114">
        <f t="shared" si="11"/>
        <v>3138912</v>
      </c>
      <c r="AT19" s="34"/>
      <c r="AU19" s="87">
        <f>CHOOSE('Обобщенный расчет'!$N$1,'Исходные данные'!$D64,'Исходные данные'!$E64,'Исходные данные'!$F64)</f>
        <v>0</v>
      </c>
    </row>
    <row r="20" spans="1:48" s="38" customFormat="1" ht="10.5" x14ac:dyDescent="0.35">
      <c r="A20" s="181" t="str">
        <f>'Исходные данные'!A16</f>
        <v>5 разовый абонемент</v>
      </c>
      <c r="B20" s="24" t="str">
        <f>CHOOSE('Исходные данные'!$O$2,'Исходные данные'!$P$2,'Исходные данные'!$P$3,'Исходные данные'!$P$4,'Исходные данные'!$P$5)</f>
        <v>UAH</v>
      </c>
      <c r="C20" s="36">
        <f>C$7*C$8*'Обобщенный расчет'!$I$11</f>
        <v>5616</v>
      </c>
      <c r="D20" s="36">
        <f>D$7*D$8*'Обобщенный расчет'!$I$11</f>
        <v>5668</v>
      </c>
      <c r="E20" s="36">
        <f>E$7*E$8*'Обобщенный расчет'!$I$11</f>
        <v>6812</v>
      </c>
      <c r="F20" s="36">
        <f>F$7*F$8*'Обобщенный расчет'!$I$11</f>
        <v>5875.9999999999991</v>
      </c>
      <c r="G20" s="36">
        <f>G$7*G$8*'Обобщенный расчет'!$I$11</f>
        <v>5720.0000000000009</v>
      </c>
      <c r="H20" s="36">
        <f>H$7*H$8*'Обобщенный расчет'!$I$11</f>
        <v>4784</v>
      </c>
      <c r="I20" s="36">
        <f>I$7*I$8*'Обобщенный расчет'!$I$11</f>
        <v>4836</v>
      </c>
      <c r="J20" s="36">
        <f>J$7*J$8*'Обобщенный расчет'!$I$11</f>
        <v>4420</v>
      </c>
      <c r="K20" s="36">
        <f>K$7*K$8*'Обобщенный расчет'!$I$11</f>
        <v>5304</v>
      </c>
      <c r="L20" s="36">
        <f>L$7*L$8*'Обобщенный расчет'!$I$11</f>
        <v>4524</v>
      </c>
      <c r="M20" s="36">
        <f>M$7*M$8*'Обобщенный расчет'!$I$11</f>
        <v>4680</v>
      </c>
      <c r="N20" s="36">
        <f>N$7*N$8*'Обобщенный расчет'!$I$11</f>
        <v>4160</v>
      </c>
      <c r="O20" s="52">
        <f t="shared" si="5"/>
        <v>62400</v>
      </c>
      <c r="P20" s="52">
        <f t="shared" si="6"/>
        <v>5200</v>
      </c>
      <c r="Q20" s="36">
        <f>Q$7*Q$8*'Обобщенный расчет'!$I$11</f>
        <v>6739.2</v>
      </c>
      <c r="R20" s="36">
        <f>R$7*R$8*'Обобщенный расчет'!$I$11</f>
        <v>6801.6</v>
      </c>
      <c r="S20" s="36">
        <f>S$7*S$8*'Обобщенный расчет'!$I$11</f>
        <v>8174.4000000000005</v>
      </c>
      <c r="T20" s="36">
        <f>T$7*T$8*'Обобщенный расчет'!$I$11</f>
        <v>7051.1999999999989</v>
      </c>
      <c r="U20" s="36">
        <f>U$7*U$8*'Обобщенный расчет'!$I$11</f>
        <v>6864</v>
      </c>
      <c r="V20" s="36">
        <f>V$7*V$8*'Обобщенный расчет'!$I$11</f>
        <v>5740.8</v>
      </c>
      <c r="W20" s="36">
        <f>W$7*W$8*'Обобщенный расчет'!$I$11</f>
        <v>5803.2000000000007</v>
      </c>
      <c r="X20" s="36">
        <f>X$7*X$8*'Обобщенный расчет'!$I$11</f>
        <v>5304</v>
      </c>
      <c r="Y20" s="36">
        <f>Y$7*Y$8*'Обобщенный расчет'!$I$11</f>
        <v>6364.8</v>
      </c>
      <c r="Z20" s="36">
        <f>Z$7*Z$8*'Обобщенный расчет'!$I$11</f>
        <v>5428.8</v>
      </c>
      <c r="AA20" s="36">
        <f>AA$7*AA$8*'Обобщенный расчет'!$I$11</f>
        <v>5616</v>
      </c>
      <c r="AB20" s="36">
        <f>AB$7*AB$8*'Обобщенный расчет'!$I$11</f>
        <v>4992</v>
      </c>
      <c r="AC20" s="52">
        <f t="shared" si="7"/>
        <v>74880.000000000015</v>
      </c>
      <c r="AD20" s="52">
        <f t="shared" si="8"/>
        <v>6240.0000000000009</v>
      </c>
      <c r="AE20" s="36">
        <f>AE$7*AE$8*'Обобщенный расчет'!$I$11</f>
        <v>7862.4</v>
      </c>
      <c r="AF20" s="36">
        <f>AF$7*AF$8*'Обобщенный расчет'!$I$11</f>
        <v>7935.2</v>
      </c>
      <c r="AG20" s="36">
        <f>AG$7*AG$8*'Обобщенный расчет'!$I$11</f>
        <v>9536.7999999999993</v>
      </c>
      <c r="AH20" s="36">
        <f>AH$7*AH$8*'Обобщенный расчет'!$I$11</f>
        <v>8226.4</v>
      </c>
      <c r="AI20" s="36">
        <f>AI$7*AI$8*'Обобщенный расчет'!$I$11</f>
        <v>8008</v>
      </c>
      <c r="AJ20" s="36">
        <f>AJ$7*AJ$8*'Обобщенный расчет'!$I$11</f>
        <v>6697.6</v>
      </c>
      <c r="AK20" s="36">
        <f>AK$7*AK$8*'Обобщенный расчет'!$I$11</f>
        <v>6770.4000000000005</v>
      </c>
      <c r="AL20" s="36">
        <f>AL$7*AL$8*'Обобщенный расчет'!$I$11</f>
        <v>6188</v>
      </c>
      <c r="AM20" s="36">
        <f>AM$7*AM$8*'Обобщенный расчет'!$I$11</f>
        <v>7425.5999999999995</v>
      </c>
      <c r="AN20" s="36">
        <f>AN$7*AN$8*'Обобщенный расчет'!$I$11</f>
        <v>6333.5999999999995</v>
      </c>
      <c r="AO20" s="36">
        <f>AO$7*AO$8*'Обобщенный расчет'!$I$11</f>
        <v>6552</v>
      </c>
      <c r="AP20" s="36">
        <f>AP$7*AP$8*'Обобщенный расчет'!$I$11</f>
        <v>5823.9999999999991</v>
      </c>
      <c r="AQ20" s="52">
        <f t="shared" si="9"/>
        <v>87360</v>
      </c>
      <c r="AR20" s="52">
        <f t="shared" si="10"/>
        <v>7280</v>
      </c>
      <c r="AS20" s="114">
        <f t="shared" si="11"/>
        <v>224640</v>
      </c>
      <c r="AT20" s="37"/>
      <c r="AU20" s="87">
        <f>CHOOSE('Обобщенный расчет'!$N$1,'Исходные данные'!$D65,'Исходные данные'!$E65,'Исходные данные'!$F65)</f>
        <v>0</v>
      </c>
      <c r="AV20" s="35"/>
    </row>
    <row r="21" spans="1:48" s="35" customFormat="1" ht="10.5" x14ac:dyDescent="0.35">
      <c r="A21" s="180">
        <f>'Исходные данные'!A17</f>
        <v>0</v>
      </c>
      <c r="B21" s="21" t="str">
        <f>CHOOSE('Исходные данные'!$O$2,'Исходные данные'!$P$2,'Исходные данные'!$P$3,'Исходные данные'!$P$4,'Исходные данные'!$P$5)</f>
        <v>UAH</v>
      </c>
      <c r="C21" s="33">
        <f>C$7*C$8*'Обобщенный расчет'!$I$12</f>
        <v>0</v>
      </c>
      <c r="D21" s="33">
        <f>D$7*D$8*'Обобщенный расчет'!$I$12</f>
        <v>0</v>
      </c>
      <c r="E21" s="33">
        <f>E$7*E$8*'Обобщенный расчет'!$I$12</f>
        <v>0</v>
      </c>
      <c r="F21" s="33">
        <f>F$7*F$8*'Обобщенный расчет'!$I$12</f>
        <v>0</v>
      </c>
      <c r="G21" s="33">
        <f>G$7*G$8*'Обобщенный расчет'!$I$12</f>
        <v>0</v>
      </c>
      <c r="H21" s="33">
        <f>H$7*H$8*'Обобщенный расчет'!$I$12</f>
        <v>0</v>
      </c>
      <c r="I21" s="33">
        <f>I$7*I$8*'Обобщенный расчет'!$I$12</f>
        <v>0</v>
      </c>
      <c r="J21" s="33">
        <f>J$7*J$8*'Обобщенный расчет'!$I$12</f>
        <v>0</v>
      </c>
      <c r="K21" s="33">
        <f>K$7*K$8*'Обобщенный расчет'!$I$12</f>
        <v>0</v>
      </c>
      <c r="L21" s="33">
        <f>L$7*L$8*'Обобщенный расчет'!$I$12</f>
        <v>0</v>
      </c>
      <c r="M21" s="33">
        <f>M$7*M$8*'Обобщенный расчет'!$I$12</f>
        <v>0</v>
      </c>
      <c r="N21" s="33">
        <f>N$7*N$8*'Обобщенный расчет'!$I$12</f>
        <v>0</v>
      </c>
      <c r="O21" s="107">
        <f t="shared" si="5"/>
        <v>0</v>
      </c>
      <c r="P21" s="107">
        <f t="shared" si="6"/>
        <v>0</v>
      </c>
      <c r="Q21" s="33">
        <f>Q$7*Q$8*'Обобщенный расчет'!$I$12</f>
        <v>0</v>
      </c>
      <c r="R21" s="33">
        <f>R$7*R$8*'Обобщенный расчет'!$I$12</f>
        <v>0</v>
      </c>
      <c r="S21" s="33">
        <f>S$7*S$8*'Обобщенный расчет'!$I$12</f>
        <v>0</v>
      </c>
      <c r="T21" s="33">
        <f>T$7*T$8*'Обобщенный расчет'!$I$12</f>
        <v>0</v>
      </c>
      <c r="U21" s="33">
        <f>U$7*U$8*'Обобщенный расчет'!$I$12</f>
        <v>0</v>
      </c>
      <c r="V21" s="33">
        <f>V$7*V$8*'Обобщенный расчет'!$I$12</f>
        <v>0</v>
      </c>
      <c r="W21" s="33">
        <f>W$7*W$8*'Обобщенный расчет'!$I$12</f>
        <v>0</v>
      </c>
      <c r="X21" s="33">
        <f>X$7*X$8*'Обобщенный расчет'!$I$12</f>
        <v>0</v>
      </c>
      <c r="Y21" s="33">
        <f>Y$7*Y$8*'Обобщенный расчет'!$I$12</f>
        <v>0</v>
      </c>
      <c r="Z21" s="33">
        <f>Z$7*Z$8*'Обобщенный расчет'!$I$12</f>
        <v>0</v>
      </c>
      <c r="AA21" s="33">
        <f>AA$7*AA$8*'Обобщенный расчет'!$I$12</f>
        <v>0</v>
      </c>
      <c r="AB21" s="33">
        <f>AB$7*AB$8*'Обобщенный расчет'!$I$12</f>
        <v>0</v>
      </c>
      <c r="AC21" s="107">
        <f t="shared" si="7"/>
        <v>0</v>
      </c>
      <c r="AD21" s="107">
        <f t="shared" si="8"/>
        <v>0</v>
      </c>
      <c r="AE21" s="33">
        <f>AE$7*AE$8*'Обобщенный расчет'!$I$12</f>
        <v>0</v>
      </c>
      <c r="AF21" s="33">
        <f>AF$7*AF$8*'Обобщенный расчет'!$I$12</f>
        <v>0</v>
      </c>
      <c r="AG21" s="33">
        <f>AG$7*AG$8*'Обобщенный расчет'!$I$12</f>
        <v>0</v>
      </c>
      <c r="AH21" s="33">
        <f>AH$7*AH$8*'Обобщенный расчет'!$I$12</f>
        <v>0</v>
      </c>
      <c r="AI21" s="33">
        <f>AI$7*AI$8*'Обобщенный расчет'!$I$12</f>
        <v>0</v>
      </c>
      <c r="AJ21" s="33">
        <f>AJ$7*AJ$8*'Обобщенный расчет'!$I$12</f>
        <v>0</v>
      </c>
      <c r="AK21" s="33">
        <f>AK$7*AK$8*'Обобщенный расчет'!$I$12</f>
        <v>0</v>
      </c>
      <c r="AL21" s="33">
        <f>AL$7*AL$8*'Обобщенный расчет'!$I$12</f>
        <v>0</v>
      </c>
      <c r="AM21" s="33">
        <f>AM$7*AM$8*'Обобщенный расчет'!$I$12</f>
        <v>0</v>
      </c>
      <c r="AN21" s="33">
        <f>AN$7*AN$8*'Обобщенный расчет'!$I$12</f>
        <v>0</v>
      </c>
      <c r="AO21" s="33">
        <f>AO$7*AO$8*'Обобщенный расчет'!$I$12</f>
        <v>0</v>
      </c>
      <c r="AP21" s="33">
        <f>AP$7*AP$8*'Обобщенный расчет'!$I$12</f>
        <v>0</v>
      </c>
      <c r="AQ21" s="107">
        <f t="shared" si="9"/>
        <v>0</v>
      </c>
      <c r="AR21" s="107">
        <f t="shared" si="10"/>
        <v>0</v>
      </c>
      <c r="AS21" s="114">
        <f t="shared" si="11"/>
        <v>0</v>
      </c>
      <c r="AT21" s="34"/>
      <c r="AU21" s="87">
        <f>CHOOSE('Обобщенный расчет'!$N$1,'Исходные данные'!$D66,'Исходные данные'!$E66,'Исходные данные'!$F66)</f>
        <v>0</v>
      </c>
    </row>
    <row r="22" spans="1:48" s="38" customFormat="1" ht="10.5" x14ac:dyDescent="0.35">
      <c r="A22" s="181">
        <f>'Исходные данные'!A18</f>
        <v>0</v>
      </c>
      <c r="B22" s="24" t="str">
        <f>CHOOSE('Исходные данные'!$O$2,'Исходные данные'!$P$2,'Исходные данные'!$P$3,'Исходные данные'!$P$4,'Исходные данные'!$P$5)</f>
        <v>UAH</v>
      </c>
      <c r="C22" s="36">
        <f>C$7*C$8*'Обобщенный расчет'!$I$13</f>
        <v>0</v>
      </c>
      <c r="D22" s="36">
        <f>D$7*D$8*'Обобщенный расчет'!$I$13</f>
        <v>0</v>
      </c>
      <c r="E22" s="36">
        <f>E$7*E$8*'Обобщенный расчет'!$I$13</f>
        <v>0</v>
      </c>
      <c r="F22" s="36">
        <f>F$7*F$8*'Обобщенный расчет'!$I$13</f>
        <v>0</v>
      </c>
      <c r="G22" s="36">
        <f>G$7*G$8*'Обобщенный расчет'!$I$13</f>
        <v>0</v>
      </c>
      <c r="H22" s="36">
        <f>H$7*H$8*'Обобщенный расчет'!$I$13</f>
        <v>0</v>
      </c>
      <c r="I22" s="36">
        <f>I$7*I$8*'Обобщенный расчет'!$I$13</f>
        <v>0</v>
      </c>
      <c r="J22" s="36">
        <f>J$7*J$8*'Обобщенный расчет'!$I$13</f>
        <v>0</v>
      </c>
      <c r="K22" s="36">
        <f>K$7*K$8*'Обобщенный расчет'!$I$13</f>
        <v>0</v>
      </c>
      <c r="L22" s="36">
        <f>L$7*L$8*'Обобщенный расчет'!$I$13</f>
        <v>0</v>
      </c>
      <c r="M22" s="36">
        <f>M$7*M$8*'Обобщенный расчет'!$I$13</f>
        <v>0</v>
      </c>
      <c r="N22" s="36">
        <f>N$7*N$8*'Обобщенный расчет'!$I$13</f>
        <v>0</v>
      </c>
      <c r="O22" s="52">
        <f t="shared" si="5"/>
        <v>0</v>
      </c>
      <c r="P22" s="52">
        <f t="shared" si="6"/>
        <v>0</v>
      </c>
      <c r="Q22" s="36">
        <f>Q$7*Q$8*'Обобщенный расчет'!$I$13</f>
        <v>0</v>
      </c>
      <c r="R22" s="36">
        <f>R$7*R$8*'Обобщенный расчет'!$I$13</f>
        <v>0</v>
      </c>
      <c r="S22" s="36">
        <f>S$7*S$8*'Обобщенный расчет'!$I$13</f>
        <v>0</v>
      </c>
      <c r="T22" s="36">
        <f>T$7*T$8*'Обобщенный расчет'!$I$13</f>
        <v>0</v>
      </c>
      <c r="U22" s="36">
        <f>U$7*U$8*'Обобщенный расчет'!$I$13</f>
        <v>0</v>
      </c>
      <c r="V22" s="36">
        <f>V$7*V$8*'Обобщенный расчет'!$I$13</f>
        <v>0</v>
      </c>
      <c r="W22" s="36">
        <f>W$7*W$8*'Обобщенный расчет'!$I$13</f>
        <v>0</v>
      </c>
      <c r="X22" s="36">
        <f>X$7*X$8*'Обобщенный расчет'!$I$13</f>
        <v>0</v>
      </c>
      <c r="Y22" s="36">
        <f>Y$7*Y$8*'Обобщенный расчет'!$I$13</f>
        <v>0</v>
      </c>
      <c r="Z22" s="36">
        <f>Z$7*Z$8*'Обобщенный расчет'!$I$13</f>
        <v>0</v>
      </c>
      <c r="AA22" s="36">
        <f>AA$7*AA$8*'Обобщенный расчет'!$I$13</f>
        <v>0</v>
      </c>
      <c r="AB22" s="36">
        <f>AB$7*AB$8*'Обобщенный расчет'!$I$13</f>
        <v>0</v>
      </c>
      <c r="AC22" s="52">
        <f t="shared" si="7"/>
        <v>0</v>
      </c>
      <c r="AD22" s="52">
        <f t="shared" si="8"/>
        <v>0</v>
      </c>
      <c r="AE22" s="36">
        <f>AE$7*AE$8*'Обобщенный расчет'!$I$13</f>
        <v>0</v>
      </c>
      <c r="AF22" s="36">
        <f>AF$7*AF$8*'Обобщенный расчет'!$I$13</f>
        <v>0</v>
      </c>
      <c r="AG22" s="36">
        <f>AG$7*AG$8*'Обобщенный расчет'!$I$13</f>
        <v>0</v>
      </c>
      <c r="AH22" s="36">
        <f>AH$7*AH$8*'Обобщенный расчет'!$I$13</f>
        <v>0</v>
      </c>
      <c r="AI22" s="36">
        <f>AI$7*AI$8*'Обобщенный расчет'!$I$13</f>
        <v>0</v>
      </c>
      <c r="AJ22" s="36">
        <f>AJ$7*AJ$8*'Обобщенный расчет'!$I$13</f>
        <v>0</v>
      </c>
      <c r="AK22" s="36">
        <f>AK$7*AK$8*'Обобщенный расчет'!$I$13</f>
        <v>0</v>
      </c>
      <c r="AL22" s="36">
        <f>AL$7*AL$8*'Обобщенный расчет'!$I$13</f>
        <v>0</v>
      </c>
      <c r="AM22" s="36">
        <f>AM$7*AM$8*'Обобщенный расчет'!$I$13</f>
        <v>0</v>
      </c>
      <c r="AN22" s="36">
        <f>AN$7*AN$8*'Обобщенный расчет'!$I$13</f>
        <v>0</v>
      </c>
      <c r="AO22" s="36">
        <f>AO$7*AO$8*'Обобщенный расчет'!$I$13</f>
        <v>0</v>
      </c>
      <c r="AP22" s="36">
        <f>AP$7*AP$8*'Обобщенный расчет'!$I$13</f>
        <v>0</v>
      </c>
      <c r="AQ22" s="52">
        <f t="shared" si="9"/>
        <v>0</v>
      </c>
      <c r="AR22" s="52">
        <f t="shared" si="10"/>
        <v>0</v>
      </c>
      <c r="AS22" s="114">
        <f t="shared" si="11"/>
        <v>0</v>
      </c>
      <c r="AT22" s="37"/>
      <c r="AU22" s="87">
        <f>CHOOSE('Обобщенный расчет'!$N$1,'Исходные данные'!$D67,'Исходные данные'!$E67,'Исходные данные'!$F67)</f>
        <v>0</v>
      </c>
      <c r="AV22" s="35"/>
    </row>
    <row r="23" spans="1:48" s="35" customFormat="1" ht="10.5" x14ac:dyDescent="0.35">
      <c r="A23" s="180" t="str">
        <f>'Исходные данные'!A19</f>
        <v>Доп. Услуги</v>
      </c>
      <c r="B23" s="21" t="str">
        <f>CHOOSE('Исходные данные'!$O$2,'Исходные данные'!$P$2,'Исходные данные'!$P$3,'Исходные данные'!$P$4,'Исходные данные'!$P$5)</f>
        <v>UAH</v>
      </c>
      <c r="C23" s="33">
        <f>C$7*C$8*'Обобщенный расчет'!$I$14</f>
        <v>32400.000000000004</v>
      </c>
      <c r="D23" s="33">
        <f>D$7*D$8*'Обобщенный расчет'!$I$14</f>
        <v>32700.000000000004</v>
      </c>
      <c r="E23" s="33">
        <f>E$7*E$8*'Обобщенный расчет'!$I$14</f>
        <v>39300</v>
      </c>
      <c r="F23" s="33">
        <f>F$7*F$8*'Обобщенный расчет'!$I$14</f>
        <v>33900</v>
      </c>
      <c r="G23" s="33">
        <f>G$7*G$8*'Обобщенный расчет'!$I$14</f>
        <v>33000</v>
      </c>
      <c r="H23" s="33">
        <f>H$7*H$8*'Обобщенный расчет'!$I$14</f>
        <v>27600</v>
      </c>
      <c r="I23" s="33">
        <f>I$7*I$8*'Обобщенный расчет'!$I$14</f>
        <v>27900</v>
      </c>
      <c r="J23" s="33">
        <f>J$7*J$8*'Обобщенный расчет'!$I$14</f>
        <v>25500</v>
      </c>
      <c r="K23" s="33">
        <f>K$7*K$8*'Обобщенный расчет'!$I$14</f>
        <v>30600</v>
      </c>
      <c r="L23" s="33">
        <f>L$7*L$8*'Обобщенный расчет'!$I$14</f>
        <v>26100</v>
      </c>
      <c r="M23" s="33">
        <f>M$7*M$8*'Обобщенный расчет'!$I$14</f>
        <v>27000</v>
      </c>
      <c r="N23" s="33">
        <f>N$7*N$8*'Обобщенный расчет'!$I$14</f>
        <v>24000</v>
      </c>
      <c r="O23" s="107">
        <f t="shared" ref="O23" si="12">SUM(C23:N23)</f>
        <v>360000</v>
      </c>
      <c r="P23" s="107">
        <f t="shared" ref="P23" si="13">O23/12</f>
        <v>30000</v>
      </c>
      <c r="Q23" s="33">
        <f>Q$7*Q$8*'Обобщенный расчет'!$I$14</f>
        <v>38880</v>
      </c>
      <c r="R23" s="33">
        <f>R$7*R$8*'Обобщенный расчет'!$I$14</f>
        <v>39240</v>
      </c>
      <c r="S23" s="33">
        <f>S$7*S$8*'Обобщенный расчет'!$I$14</f>
        <v>47160</v>
      </c>
      <c r="T23" s="33">
        <f>T$7*T$8*'Обобщенный расчет'!$I$14</f>
        <v>40679.999999999993</v>
      </c>
      <c r="U23" s="33">
        <f>U$7*U$8*'Обобщенный расчет'!$I$14</f>
        <v>39600</v>
      </c>
      <c r="V23" s="33">
        <f>V$7*V$8*'Обобщенный расчет'!$I$14</f>
        <v>33120</v>
      </c>
      <c r="W23" s="33">
        <f>W$7*W$8*'Обобщенный расчет'!$I$14</f>
        <v>33480</v>
      </c>
      <c r="X23" s="33">
        <f>X$7*X$8*'Обобщенный расчет'!$I$14</f>
        <v>30600</v>
      </c>
      <c r="Y23" s="33">
        <f>Y$7*Y$8*'Обобщенный расчет'!$I$14</f>
        <v>36720</v>
      </c>
      <c r="Z23" s="33">
        <f>Z$7*Z$8*'Обобщенный расчет'!$I$14</f>
        <v>31320</v>
      </c>
      <c r="AA23" s="33">
        <f>AA$7*AA$8*'Обобщенный расчет'!$I$14</f>
        <v>32400.000000000004</v>
      </c>
      <c r="AB23" s="33">
        <f>AB$7*AB$8*'Обобщенный расчет'!$I$14</f>
        <v>28800</v>
      </c>
      <c r="AC23" s="107">
        <f t="shared" ref="AC23" si="14">SUM(Q23:AB23)</f>
        <v>432000</v>
      </c>
      <c r="AD23" s="107">
        <f t="shared" ref="AD23" si="15">AC23/12</f>
        <v>36000</v>
      </c>
      <c r="AE23" s="33">
        <f>AE$7*AE$8*'Обобщенный расчет'!$I$14</f>
        <v>45360</v>
      </c>
      <c r="AF23" s="33">
        <f>AF$7*AF$8*'Обобщенный расчет'!$I$14</f>
        <v>45780</v>
      </c>
      <c r="AG23" s="33">
        <f>AG$7*AG$8*'Обобщенный расчет'!$I$14</f>
        <v>55019.999999999993</v>
      </c>
      <c r="AH23" s="33">
        <f>AH$7*AH$8*'Обобщенный расчет'!$I$14</f>
        <v>47459.999999999993</v>
      </c>
      <c r="AI23" s="33">
        <f>AI$7*AI$8*'Обобщенный расчет'!$I$14</f>
        <v>46200</v>
      </c>
      <c r="AJ23" s="33">
        <f>AJ$7*AJ$8*'Обобщенный расчет'!$I$14</f>
        <v>38640</v>
      </c>
      <c r="AK23" s="33">
        <f>AK$7*AK$8*'Обобщенный расчет'!$I$14</f>
        <v>39060</v>
      </c>
      <c r="AL23" s="33">
        <f>AL$7*AL$8*'Обобщенный расчет'!$I$14</f>
        <v>35700</v>
      </c>
      <c r="AM23" s="33">
        <f>AM$7*AM$8*'Обобщенный расчет'!$I$14</f>
        <v>42840</v>
      </c>
      <c r="AN23" s="33">
        <f>AN$7*AN$8*'Обобщенный расчет'!$I$14</f>
        <v>36540</v>
      </c>
      <c r="AO23" s="33">
        <f>AO$7*AO$8*'Обобщенный расчет'!$I$14</f>
        <v>37800</v>
      </c>
      <c r="AP23" s="33">
        <f>AP$7*AP$8*'Обобщенный расчет'!$I$14</f>
        <v>33600</v>
      </c>
      <c r="AQ23" s="107">
        <f t="shared" ref="AQ23" si="16">SUM(AE23:AP23)</f>
        <v>504000</v>
      </c>
      <c r="AR23" s="107">
        <f t="shared" ref="AR23" si="17">AQ23/12</f>
        <v>42000</v>
      </c>
      <c r="AS23" s="114">
        <f t="shared" ref="AS23" si="18">O23+AC23+AQ23</f>
        <v>1296000</v>
      </c>
      <c r="AT23" s="34"/>
      <c r="AU23" s="87" t="str">
        <f>CHOOSE('Обобщенный расчет'!$N$1,'Исходные данные'!$D68,'Исходные данные'!$E68,'Исходные данные'!$F68)</f>
        <v>В валюте, в которой производиться расчет, UAH</v>
      </c>
    </row>
    <row r="24" spans="1:48" s="27" customFormat="1" ht="10.5" x14ac:dyDescent="0.35">
      <c r="A24" s="28" t="s">
        <v>3</v>
      </c>
      <c r="B24" s="29" t="str">
        <f>CHOOSE('Исходные данные'!$O$2,'Исходные данные'!$P$2,'Исходные данные'!$P$3,'Исходные данные'!$P$4,'Исходные данные'!$P$5)</f>
        <v>UAH</v>
      </c>
      <c r="C24" s="96">
        <f>SUM(C17:C23)</f>
        <v>176148</v>
      </c>
      <c r="D24" s="96">
        <f t="shared" ref="D24:AS24" si="19">SUM(D17:D23)</f>
        <v>177779</v>
      </c>
      <c r="E24" s="96">
        <f t="shared" si="19"/>
        <v>213661</v>
      </c>
      <c r="F24" s="96">
        <f t="shared" si="19"/>
        <v>184303</v>
      </c>
      <c r="G24" s="96">
        <f t="shared" si="19"/>
        <v>179410</v>
      </c>
      <c r="H24" s="96">
        <f t="shared" si="19"/>
        <v>150052</v>
      </c>
      <c r="I24" s="96">
        <f t="shared" si="19"/>
        <v>151683</v>
      </c>
      <c r="J24" s="96">
        <f t="shared" si="19"/>
        <v>138635</v>
      </c>
      <c r="K24" s="96">
        <f t="shared" si="19"/>
        <v>166362</v>
      </c>
      <c r="L24" s="96">
        <f t="shared" si="19"/>
        <v>141897</v>
      </c>
      <c r="M24" s="96">
        <f t="shared" si="19"/>
        <v>146790</v>
      </c>
      <c r="N24" s="96">
        <f t="shared" si="19"/>
        <v>130480</v>
      </c>
      <c r="O24" s="96">
        <f t="shared" si="19"/>
        <v>1957200</v>
      </c>
      <c r="P24" s="96">
        <f t="shared" si="19"/>
        <v>163100</v>
      </c>
      <c r="Q24" s="96">
        <f t="shared" si="19"/>
        <v>211377.60000000003</v>
      </c>
      <c r="R24" s="96">
        <f t="shared" si="19"/>
        <v>213334.80000000002</v>
      </c>
      <c r="S24" s="96">
        <f t="shared" si="19"/>
        <v>256393.19999999998</v>
      </c>
      <c r="T24" s="96">
        <f t="shared" si="19"/>
        <v>221163.59999999998</v>
      </c>
      <c r="U24" s="96">
        <f t="shared" si="19"/>
        <v>215292</v>
      </c>
      <c r="V24" s="96">
        <f t="shared" si="19"/>
        <v>180062.40000000002</v>
      </c>
      <c r="W24" s="96">
        <f t="shared" si="19"/>
        <v>182019.60000000003</v>
      </c>
      <c r="X24" s="96">
        <f t="shared" si="19"/>
        <v>166362</v>
      </c>
      <c r="Y24" s="96">
        <f t="shared" si="19"/>
        <v>199634.4</v>
      </c>
      <c r="Z24" s="96">
        <f t="shared" si="19"/>
        <v>170276.4</v>
      </c>
      <c r="AA24" s="96">
        <f t="shared" si="19"/>
        <v>176148</v>
      </c>
      <c r="AB24" s="96">
        <f t="shared" si="19"/>
        <v>156576</v>
      </c>
      <c r="AC24" s="96">
        <f t="shared" si="19"/>
        <v>2348640</v>
      </c>
      <c r="AD24" s="96">
        <f t="shared" si="19"/>
        <v>195720</v>
      </c>
      <c r="AE24" s="96">
        <f t="shared" si="19"/>
        <v>246607.19999999998</v>
      </c>
      <c r="AF24" s="96">
        <f t="shared" si="19"/>
        <v>248890.60000000003</v>
      </c>
      <c r="AG24" s="96">
        <f t="shared" si="19"/>
        <v>299125.39999999997</v>
      </c>
      <c r="AH24" s="96">
        <f t="shared" si="19"/>
        <v>258024.19999999998</v>
      </c>
      <c r="AI24" s="96">
        <f t="shared" si="19"/>
        <v>251174</v>
      </c>
      <c r="AJ24" s="96">
        <f t="shared" si="19"/>
        <v>210072.80000000002</v>
      </c>
      <c r="AK24" s="96">
        <f t="shared" si="19"/>
        <v>212356.19999999998</v>
      </c>
      <c r="AL24" s="96">
        <f t="shared" si="19"/>
        <v>194089</v>
      </c>
      <c r="AM24" s="96">
        <f t="shared" si="19"/>
        <v>232906.80000000002</v>
      </c>
      <c r="AN24" s="96">
        <f t="shared" si="19"/>
        <v>198655.80000000002</v>
      </c>
      <c r="AO24" s="96">
        <f t="shared" si="19"/>
        <v>205506</v>
      </c>
      <c r="AP24" s="96">
        <f t="shared" si="19"/>
        <v>182672</v>
      </c>
      <c r="AQ24" s="96">
        <f t="shared" si="19"/>
        <v>2740080</v>
      </c>
      <c r="AR24" s="96">
        <f t="shared" si="19"/>
        <v>228340</v>
      </c>
      <c r="AS24" s="96">
        <f t="shared" si="19"/>
        <v>7045920</v>
      </c>
      <c r="AT24" s="26"/>
      <c r="AU24" s="87">
        <f>CHOOSE('Обобщенный расчет'!$N$1,'Исходные данные'!$D69,'Исходные данные'!$E69,'Исходные данные'!$F69)</f>
        <v>1260000</v>
      </c>
      <c r="AV24" s="35"/>
    </row>
    <row r="25" spans="1:48" s="20" customFormat="1" ht="10.8" thickBot="1" x14ac:dyDescent="0.45">
      <c r="A25" s="30"/>
      <c r="B25" s="31"/>
      <c r="C25" s="32"/>
      <c r="D25" s="30"/>
      <c r="E25" s="30"/>
      <c r="F25" s="30"/>
      <c r="G25" s="30"/>
      <c r="H25" s="30"/>
      <c r="I25" s="30"/>
      <c r="J25" s="30"/>
      <c r="O25" s="55"/>
      <c r="P25" s="55"/>
      <c r="Q25" s="32"/>
      <c r="R25" s="30"/>
      <c r="S25" s="30"/>
      <c r="T25" s="30"/>
      <c r="U25" s="30"/>
      <c r="V25" s="30"/>
      <c r="W25" s="30"/>
      <c r="X25" s="30"/>
      <c r="AC25" s="55"/>
      <c r="AD25" s="55"/>
      <c r="AE25" s="32"/>
      <c r="AF25" s="30"/>
      <c r="AG25" s="30"/>
      <c r="AH25" s="30"/>
      <c r="AI25" s="30"/>
      <c r="AJ25" s="30"/>
      <c r="AK25" s="30"/>
      <c r="AL25" s="30"/>
      <c r="AQ25" s="55"/>
      <c r="AR25" s="55"/>
      <c r="AU25" s="87">
        <f>CHOOSE('Обобщенный расчет'!$N$1,'Исходные данные'!$D70,'Исходные данные'!$E70,'Исходные данные'!$F70)</f>
        <v>0</v>
      </c>
    </row>
    <row r="26" spans="1:48" s="20" customFormat="1" ht="21.6" thickTop="1" thickBot="1" x14ac:dyDescent="0.4">
      <c r="A26" s="18" t="s">
        <v>121</v>
      </c>
      <c r="B26" s="19"/>
      <c r="C26" s="92" t="str">
        <f t="shared" ref="C26:N26" si="20">C$6</f>
        <v>январь</v>
      </c>
      <c r="D26" s="92" t="str">
        <f t="shared" si="20"/>
        <v>февраль</v>
      </c>
      <c r="E26" s="92" t="str">
        <f t="shared" si="20"/>
        <v>март</v>
      </c>
      <c r="F26" s="92" t="str">
        <f t="shared" si="20"/>
        <v>апрель</v>
      </c>
      <c r="G26" s="92" t="str">
        <f t="shared" si="20"/>
        <v>май</v>
      </c>
      <c r="H26" s="92" t="str">
        <f t="shared" si="20"/>
        <v>июнь</v>
      </c>
      <c r="I26" s="92" t="str">
        <f t="shared" si="20"/>
        <v>июль</v>
      </c>
      <c r="J26" s="92" t="str">
        <f t="shared" si="20"/>
        <v>август</v>
      </c>
      <c r="K26" s="92" t="str">
        <f t="shared" si="20"/>
        <v>сентябрь</v>
      </c>
      <c r="L26" s="92" t="str">
        <f t="shared" si="20"/>
        <v>октябрь</v>
      </c>
      <c r="M26" s="92" t="str">
        <f t="shared" si="20"/>
        <v>ноябрь</v>
      </c>
      <c r="N26" s="92" t="str">
        <f t="shared" si="20"/>
        <v>декабрь</v>
      </c>
      <c r="O26" s="199" t="s">
        <v>36</v>
      </c>
      <c r="P26" s="199" t="s">
        <v>37</v>
      </c>
      <c r="Q26" s="92" t="str">
        <f t="shared" ref="Q26:AB26" si="21">Q$6</f>
        <v>январь</v>
      </c>
      <c r="R26" s="92" t="str">
        <f t="shared" si="21"/>
        <v>февраль</v>
      </c>
      <c r="S26" s="92" t="str">
        <f t="shared" si="21"/>
        <v>март</v>
      </c>
      <c r="T26" s="92" t="str">
        <f t="shared" si="21"/>
        <v>апрель</v>
      </c>
      <c r="U26" s="92" t="str">
        <f t="shared" si="21"/>
        <v>май</v>
      </c>
      <c r="V26" s="92" t="str">
        <f t="shared" si="21"/>
        <v>июнь</v>
      </c>
      <c r="W26" s="92" t="str">
        <f t="shared" si="21"/>
        <v>июль</v>
      </c>
      <c r="X26" s="92" t="str">
        <f t="shared" si="21"/>
        <v>август</v>
      </c>
      <c r="Y26" s="92" t="str">
        <f t="shared" si="21"/>
        <v>сентябрь</v>
      </c>
      <c r="Z26" s="92" t="str">
        <f t="shared" si="21"/>
        <v>октябрь</v>
      </c>
      <c r="AA26" s="92" t="str">
        <f t="shared" si="21"/>
        <v>ноябрь</v>
      </c>
      <c r="AB26" s="92" t="str">
        <f t="shared" si="21"/>
        <v>декабрь</v>
      </c>
      <c r="AC26" s="199" t="s">
        <v>39</v>
      </c>
      <c r="AD26" s="199" t="s">
        <v>38</v>
      </c>
      <c r="AE26" s="92" t="str">
        <f t="shared" ref="AE26:AP26" si="22">AE$6</f>
        <v>январь</v>
      </c>
      <c r="AF26" s="92" t="str">
        <f t="shared" si="22"/>
        <v>февраль</v>
      </c>
      <c r="AG26" s="92" t="str">
        <f t="shared" si="22"/>
        <v>март</v>
      </c>
      <c r="AH26" s="92" t="str">
        <f t="shared" si="22"/>
        <v>апрель</v>
      </c>
      <c r="AI26" s="92" t="str">
        <f t="shared" si="22"/>
        <v>май</v>
      </c>
      <c r="AJ26" s="92" t="str">
        <f t="shared" si="22"/>
        <v>июнь</v>
      </c>
      <c r="AK26" s="92" t="str">
        <f t="shared" si="22"/>
        <v>июль</v>
      </c>
      <c r="AL26" s="92" t="str">
        <f t="shared" si="22"/>
        <v>август</v>
      </c>
      <c r="AM26" s="92" t="str">
        <f t="shared" si="22"/>
        <v>сентябрь</v>
      </c>
      <c r="AN26" s="92" t="str">
        <f t="shared" si="22"/>
        <v>октябрь</v>
      </c>
      <c r="AO26" s="92" t="str">
        <f t="shared" si="22"/>
        <v>ноябрь</v>
      </c>
      <c r="AP26" s="92" t="str">
        <f t="shared" si="22"/>
        <v>декабрь</v>
      </c>
      <c r="AQ26" s="199" t="s">
        <v>40</v>
      </c>
      <c r="AR26" s="199" t="s">
        <v>41</v>
      </c>
      <c r="AU26" s="87">
        <f>CHOOSE('Обобщенный расчет'!$N$1,'Исходные данные'!$D71,'Исходные данные'!$E71,'Исходные данные'!$F71)</f>
        <v>0</v>
      </c>
    </row>
    <row r="27" spans="1:48" s="35" customFormat="1" ht="10.8" thickTop="1" x14ac:dyDescent="0.35">
      <c r="A27" s="180" t="str">
        <f>A23</f>
        <v>Доп. Услуги</v>
      </c>
      <c r="B27" s="21" t="str">
        <f>CHOOSE('Исходные данные'!$O$2,'Исходные данные'!$P$2,'Исходные данные'!$P$3,'Исходные данные'!$P$4,'Исходные данные'!$P$5)</f>
        <v>UAH</v>
      </c>
      <c r="C27" s="33">
        <f>C23/(1+'Обобщенный расчет'!$H$14)</f>
        <v>23142.857142857149</v>
      </c>
      <c r="D27" s="33">
        <f>D23/(1+'Обобщенный расчет'!$H$14)</f>
        <v>23357.142857142862</v>
      </c>
      <c r="E27" s="33">
        <f>E23/(1+'Обобщенный расчет'!$H$14)</f>
        <v>28071.428571428572</v>
      </c>
      <c r="F27" s="33">
        <f>F23/(1+'Обобщенный расчет'!$H$14)</f>
        <v>24214.285714285717</v>
      </c>
      <c r="G27" s="33">
        <f>G23/(1+'Обобщенный расчет'!$H$14)</f>
        <v>23571.428571428572</v>
      </c>
      <c r="H27" s="33">
        <f>H23/(1+'Обобщенный расчет'!$H$14)</f>
        <v>19714.285714285714</v>
      </c>
      <c r="I27" s="33">
        <f>I23/(1+'Обобщенный расчет'!$H$14)</f>
        <v>19928.571428571431</v>
      </c>
      <c r="J27" s="33">
        <f>J23/(1+'Обобщенный расчет'!$H$14)</f>
        <v>18214.285714285714</v>
      </c>
      <c r="K27" s="33">
        <f>K23/(1+'Обобщенный расчет'!$H$14)</f>
        <v>21857.142857142859</v>
      </c>
      <c r="L27" s="33">
        <f>L23/(1+'Обобщенный расчет'!$H$14)</f>
        <v>18642.857142857145</v>
      </c>
      <c r="M27" s="33">
        <f>M23/(1+'Обобщенный расчет'!$H$14)</f>
        <v>19285.714285714286</v>
      </c>
      <c r="N27" s="33">
        <f>N23/(1+'Обобщенный расчет'!$H$14)</f>
        <v>17142.857142857145</v>
      </c>
      <c r="O27" s="107">
        <f t="shared" ref="O27" si="23">SUM(C27:N27)</f>
        <v>257142.85714285716</v>
      </c>
      <c r="P27" s="107">
        <f t="shared" ref="P27" si="24">O27/12</f>
        <v>21428.571428571431</v>
      </c>
      <c r="Q27" s="33">
        <f>Q23/(1+'Обобщенный расчет'!$H$14)</f>
        <v>27771.428571428572</v>
      </c>
      <c r="R27" s="33">
        <f>R23/(1+'Обобщенный расчет'!$H$14)</f>
        <v>28028.571428571431</v>
      </c>
      <c r="S27" s="33">
        <f>S23/(1+'Обобщенный расчет'!$H$14)</f>
        <v>33685.71428571429</v>
      </c>
      <c r="T27" s="33">
        <f>T23/(1+'Обобщенный расчет'!$H$14)</f>
        <v>29057.142857142855</v>
      </c>
      <c r="U27" s="33">
        <f>U23/(1+'Обобщенный расчет'!$H$14)</f>
        <v>28285.714285714286</v>
      </c>
      <c r="V27" s="33">
        <f>V23/(1+'Обобщенный расчет'!$H$14)</f>
        <v>23657.142857142859</v>
      </c>
      <c r="W27" s="33">
        <f>W23/(1+'Обобщенный расчет'!$H$14)</f>
        <v>23914.285714285717</v>
      </c>
      <c r="X27" s="33">
        <f>X23/(1+'Обобщенный расчет'!$H$14)</f>
        <v>21857.142857142859</v>
      </c>
      <c r="Y27" s="33">
        <f>Y23/(1+'Обобщенный расчет'!$H$14)</f>
        <v>26228.571428571431</v>
      </c>
      <c r="Z27" s="33">
        <f>Z23/(1+'Обобщенный расчет'!$H$14)</f>
        <v>22371.428571428572</v>
      </c>
      <c r="AA27" s="33">
        <f>AA23/(1+'Обобщенный расчет'!$H$14)</f>
        <v>23142.857142857149</v>
      </c>
      <c r="AB27" s="33">
        <f>AB23/(1+'Обобщенный расчет'!$H$14)</f>
        <v>20571.428571428572</v>
      </c>
      <c r="AC27" s="107">
        <f t="shared" ref="AC27" si="25">SUM(Q27:AB27)</f>
        <v>308571.42857142858</v>
      </c>
      <c r="AD27" s="107">
        <f t="shared" ref="AD27" si="26">AC27/12</f>
        <v>25714.285714285714</v>
      </c>
      <c r="AE27" s="33">
        <f>AE23/(1+'Обобщенный расчет'!$H$14)</f>
        <v>32400.000000000004</v>
      </c>
      <c r="AF27" s="33">
        <f>AF23/(1+'Обобщенный расчет'!$H$14)</f>
        <v>32700.000000000004</v>
      </c>
      <c r="AG27" s="33">
        <f>AG23/(1+'Обобщенный расчет'!$H$14)</f>
        <v>39300</v>
      </c>
      <c r="AH27" s="33">
        <f>AH23/(1+'Обобщенный расчет'!$H$14)</f>
        <v>33900</v>
      </c>
      <c r="AI27" s="33">
        <f>AI23/(1+'Обобщенный расчет'!$H$14)</f>
        <v>33000</v>
      </c>
      <c r="AJ27" s="33">
        <f>AJ23/(1+'Обобщенный расчет'!$H$14)</f>
        <v>27600</v>
      </c>
      <c r="AK27" s="33">
        <f>AK23/(1+'Обобщенный расчет'!$H$14)</f>
        <v>27900</v>
      </c>
      <c r="AL27" s="33">
        <f>AL23/(1+'Обобщенный расчет'!$H$14)</f>
        <v>25500</v>
      </c>
      <c r="AM27" s="33">
        <f>AM23/(1+'Обобщенный расчет'!$H$14)</f>
        <v>30600.000000000004</v>
      </c>
      <c r="AN27" s="33">
        <f>AN23/(1+'Обобщенный расчет'!$H$14)</f>
        <v>26100</v>
      </c>
      <c r="AO27" s="33">
        <f>AO23/(1+'Обобщенный расчет'!$H$14)</f>
        <v>27000</v>
      </c>
      <c r="AP27" s="33">
        <f>AP23/(1+'Обобщенный расчет'!$H$14)</f>
        <v>24000</v>
      </c>
      <c r="AQ27" s="107">
        <f t="shared" ref="AQ27" si="27">SUM(AE27:AP27)</f>
        <v>360000</v>
      </c>
      <c r="AR27" s="107">
        <f t="shared" ref="AR27" si="28">AQ27/12</f>
        <v>30000</v>
      </c>
      <c r="AS27" s="114">
        <f t="shared" ref="AS27" si="29">O27+AC27+AQ27</f>
        <v>925714.28571428568</v>
      </c>
      <c r="AT27" s="34"/>
      <c r="AU27" s="87">
        <f>CHOOSE('Обобщенный расчет'!$N$1,'Исходные данные'!$D72,'Исходные данные'!$E72,'Исходные данные'!$F72)</f>
        <v>0</v>
      </c>
    </row>
    <row r="28" spans="1:48" s="27" customFormat="1" ht="10.5" x14ac:dyDescent="0.35">
      <c r="A28" s="28" t="s">
        <v>3</v>
      </c>
      <c r="B28" s="29" t="str">
        <f>CHOOSE('Исходные данные'!$O$2,'Исходные данные'!$P$2,'Исходные данные'!$P$3,'Исходные данные'!$P$4,'Исходные данные'!$P$5)</f>
        <v>UAH</v>
      </c>
      <c r="C28" s="96">
        <f t="shared" ref="C28:AS28" si="30">SUM(C27:C27)</f>
        <v>23142.857142857149</v>
      </c>
      <c r="D28" s="96">
        <f t="shared" si="30"/>
        <v>23357.142857142862</v>
      </c>
      <c r="E28" s="96">
        <f t="shared" si="30"/>
        <v>28071.428571428572</v>
      </c>
      <c r="F28" s="96">
        <f t="shared" si="30"/>
        <v>24214.285714285717</v>
      </c>
      <c r="G28" s="96">
        <f t="shared" si="30"/>
        <v>23571.428571428572</v>
      </c>
      <c r="H28" s="96">
        <f t="shared" si="30"/>
        <v>19714.285714285714</v>
      </c>
      <c r="I28" s="96">
        <f t="shared" si="30"/>
        <v>19928.571428571431</v>
      </c>
      <c r="J28" s="96">
        <f t="shared" si="30"/>
        <v>18214.285714285714</v>
      </c>
      <c r="K28" s="96">
        <f t="shared" si="30"/>
        <v>21857.142857142859</v>
      </c>
      <c r="L28" s="96">
        <f t="shared" si="30"/>
        <v>18642.857142857145</v>
      </c>
      <c r="M28" s="96">
        <f t="shared" si="30"/>
        <v>19285.714285714286</v>
      </c>
      <c r="N28" s="96">
        <f t="shared" si="30"/>
        <v>17142.857142857145</v>
      </c>
      <c r="O28" s="96">
        <f t="shared" si="30"/>
        <v>257142.85714285716</v>
      </c>
      <c r="P28" s="96">
        <f t="shared" si="30"/>
        <v>21428.571428571431</v>
      </c>
      <c r="Q28" s="96">
        <f t="shared" si="30"/>
        <v>27771.428571428572</v>
      </c>
      <c r="R28" s="96">
        <f t="shared" si="30"/>
        <v>28028.571428571431</v>
      </c>
      <c r="S28" s="96">
        <f t="shared" si="30"/>
        <v>33685.71428571429</v>
      </c>
      <c r="T28" s="96">
        <f t="shared" si="30"/>
        <v>29057.142857142855</v>
      </c>
      <c r="U28" s="96">
        <f t="shared" si="30"/>
        <v>28285.714285714286</v>
      </c>
      <c r="V28" s="96">
        <f t="shared" si="30"/>
        <v>23657.142857142859</v>
      </c>
      <c r="W28" s="96">
        <f t="shared" si="30"/>
        <v>23914.285714285717</v>
      </c>
      <c r="X28" s="96">
        <f t="shared" si="30"/>
        <v>21857.142857142859</v>
      </c>
      <c r="Y28" s="96">
        <f t="shared" si="30"/>
        <v>26228.571428571431</v>
      </c>
      <c r="Z28" s="96">
        <f t="shared" si="30"/>
        <v>22371.428571428572</v>
      </c>
      <c r="AA28" s="96">
        <f t="shared" si="30"/>
        <v>23142.857142857149</v>
      </c>
      <c r="AB28" s="96">
        <f t="shared" si="30"/>
        <v>20571.428571428572</v>
      </c>
      <c r="AC28" s="96">
        <f t="shared" si="30"/>
        <v>308571.42857142858</v>
      </c>
      <c r="AD28" s="96">
        <f t="shared" si="30"/>
        <v>25714.285714285714</v>
      </c>
      <c r="AE28" s="96">
        <f t="shared" si="30"/>
        <v>32400.000000000004</v>
      </c>
      <c r="AF28" s="96">
        <f t="shared" si="30"/>
        <v>32700.000000000004</v>
      </c>
      <c r="AG28" s="96">
        <f t="shared" si="30"/>
        <v>39300</v>
      </c>
      <c r="AH28" s="96">
        <f t="shared" si="30"/>
        <v>33900</v>
      </c>
      <c r="AI28" s="96">
        <f t="shared" si="30"/>
        <v>33000</v>
      </c>
      <c r="AJ28" s="96">
        <f t="shared" si="30"/>
        <v>27600</v>
      </c>
      <c r="AK28" s="96">
        <f t="shared" si="30"/>
        <v>27900</v>
      </c>
      <c r="AL28" s="96">
        <f t="shared" si="30"/>
        <v>25500</v>
      </c>
      <c r="AM28" s="96">
        <f t="shared" si="30"/>
        <v>30600.000000000004</v>
      </c>
      <c r="AN28" s="96">
        <f t="shared" si="30"/>
        <v>26100</v>
      </c>
      <c r="AO28" s="96">
        <f t="shared" si="30"/>
        <v>27000</v>
      </c>
      <c r="AP28" s="96">
        <f t="shared" si="30"/>
        <v>24000</v>
      </c>
      <c r="AQ28" s="96">
        <f t="shared" si="30"/>
        <v>360000</v>
      </c>
      <c r="AR28" s="96">
        <f t="shared" si="30"/>
        <v>30000</v>
      </c>
      <c r="AS28" s="96">
        <f t="shared" si="30"/>
        <v>925714.28571428568</v>
      </c>
      <c r="AT28" s="26"/>
      <c r="AU28" s="87">
        <f>CHOOSE('Обобщенный расчет'!$N$1,'Исходные данные'!$D73,'Исходные данные'!$E73,'Исходные данные'!$F73)</f>
        <v>0</v>
      </c>
      <c r="AV28" s="35"/>
    </row>
    <row r="29" spans="1:48" s="20" customFormat="1" ht="10.8" thickBot="1" x14ac:dyDescent="0.45">
      <c r="A29" s="30"/>
      <c r="B29" s="31"/>
      <c r="C29" s="32"/>
      <c r="D29" s="30"/>
      <c r="E29" s="30"/>
      <c r="F29" s="30"/>
      <c r="G29" s="30"/>
      <c r="H29" s="30"/>
      <c r="I29" s="30"/>
      <c r="J29" s="30"/>
      <c r="O29" s="55"/>
      <c r="P29" s="55"/>
      <c r="Q29" s="32"/>
      <c r="R29" s="30"/>
      <c r="S29" s="30"/>
      <c r="T29" s="30"/>
      <c r="U29" s="30"/>
      <c r="V29" s="30"/>
      <c r="W29" s="30"/>
      <c r="X29" s="30"/>
      <c r="AC29" s="55"/>
      <c r="AD29" s="55"/>
      <c r="AE29" s="32"/>
      <c r="AF29" s="30"/>
      <c r="AG29" s="30"/>
      <c r="AH29" s="30"/>
      <c r="AI29" s="30"/>
      <c r="AJ29" s="30"/>
      <c r="AK29" s="30"/>
      <c r="AL29" s="30"/>
      <c r="AQ29" s="55"/>
      <c r="AR29" s="55"/>
      <c r="AU29" s="87">
        <f>CHOOSE('Обобщенный расчет'!$N$1,'Исходные данные'!$D74,'Исходные данные'!$E74,'Исходные данные'!$F74)</f>
        <v>0</v>
      </c>
    </row>
    <row r="30" spans="1:48" s="13" customFormat="1" ht="21.6" thickTop="1" thickBot="1" x14ac:dyDescent="0.4">
      <c r="A30" s="14" t="s">
        <v>87</v>
      </c>
      <c r="B30" s="15"/>
      <c r="C30" s="19" t="str">
        <f t="shared" ref="C30:N30" si="31">C$6</f>
        <v>январь</v>
      </c>
      <c r="D30" s="19" t="str">
        <f t="shared" si="31"/>
        <v>февраль</v>
      </c>
      <c r="E30" s="19" t="str">
        <f t="shared" si="31"/>
        <v>март</v>
      </c>
      <c r="F30" s="19" t="str">
        <f t="shared" si="31"/>
        <v>апрель</v>
      </c>
      <c r="G30" s="19" t="str">
        <f t="shared" si="31"/>
        <v>май</v>
      </c>
      <c r="H30" s="19" t="str">
        <f t="shared" si="31"/>
        <v>июнь</v>
      </c>
      <c r="I30" s="19" t="str">
        <f t="shared" si="31"/>
        <v>июль</v>
      </c>
      <c r="J30" s="19" t="str">
        <f t="shared" si="31"/>
        <v>август</v>
      </c>
      <c r="K30" s="19" t="str">
        <f t="shared" si="31"/>
        <v>сентябрь</v>
      </c>
      <c r="L30" s="19" t="str">
        <f t="shared" si="31"/>
        <v>октябрь</v>
      </c>
      <c r="M30" s="19" t="str">
        <f t="shared" si="31"/>
        <v>ноябрь</v>
      </c>
      <c r="N30" s="19" t="str">
        <f t="shared" si="31"/>
        <v>декабрь</v>
      </c>
      <c r="O30" s="108" t="str">
        <f>$O$16</f>
        <v>Итого за 1-й год</v>
      </c>
      <c r="P30" s="108" t="str">
        <f>$P$16</f>
        <v>Среднемесячно за 1-й год</v>
      </c>
      <c r="Q30" s="19" t="str">
        <f t="shared" ref="Q30:AB30" si="32">Q$6</f>
        <v>январь</v>
      </c>
      <c r="R30" s="19" t="str">
        <f t="shared" si="32"/>
        <v>февраль</v>
      </c>
      <c r="S30" s="19" t="str">
        <f t="shared" si="32"/>
        <v>март</v>
      </c>
      <c r="T30" s="19" t="str">
        <f t="shared" si="32"/>
        <v>апрель</v>
      </c>
      <c r="U30" s="19" t="str">
        <f t="shared" si="32"/>
        <v>май</v>
      </c>
      <c r="V30" s="19" t="str">
        <f t="shared" si="32"/>
        <v>июнь</v>
      </c>
      <c r="W30" s="19" t="str">
        <f t="shared" si="32"/>
        <v>июль</v>
      </c>
      <c r="X30" s="19" t="str">
        <f t="shared" si="32"/>
        <v>август</v>
      </c>
      <c r="Y30" s="19" t="str">
        <f t="shared" si="32"/>
        <v>сентябрь</v>
      </c>
      <c r="Z30" s="19" t="str">
        <f t="shared" si="32"/>
        <v>октябрь</v>
      </c>
      <c r="AA30" s="19" t="str">
        <f t="shared" si="32"/>
        <v>ноябрь</v>
      </c>
      <c r="AB30" s="19" t="str">
        <f t="shared" si="32"/>
        <v>декабрь</v>
      </c>
      <c r="AC30" s="108" t="str">
        <f>$AC$16</f>
        <v>Итого за 2-й год</v>
      </c>
      <c r="AD30" s="108" t="str">
        <f>$AD$16</f>
        <v>Среднемесячно за 2-й год</v>
      </c>
      <c r="AE30" s="19" t="str">
        <f t="shared" ref="AE30:AP30" si="33">AE$6</f>
        <v>январь</v>
      </c>
      <c r="AF30" s="19" t="str">
        <f t="shared" si="33"/>
        <v>февраль</v>
      </c>
      <c r="AG30" s="19" t="str">
        <f t="shared" si="33"/>
        <v>март</v>
      </c>
      <c r="AH30" s="19" t="str">
        <f t="shared" si="33"/>
        <v>апрель</v>
      </c>
      <c r="AI30" s="19" t="str">
        <f t="shared" si="33"/>
        <v>май</v>
      </c>
      <c r="AJ30" s="19" t="str">
        <f t="shared" si="33"/>
        <v>июнь</v>
      </c>
      <c r="AK30" s="19" t="str">
        <f t="shared" si="33"/>
        <v>июль</v>
      </c>
      <c r="AL30" s="19" t="str">
        <f t="shared" si="33"/>
        <v>август</v>
      </c>
      <c r="AM30" s="19" t="str">
        <f t="shared" si="33"/>
        <v>сентябрь</v>
      </c>
      <c r="AN30" s="19" t="str">
        <f t="shared" si="33"/>
        <v>октябрь</v>
      </c>
      <c r="AO30" s="19" t="str">
        <f t="shared" si="33"/>
        <v>ноябрь</v>
      </c>
      <c r="AP30" s="19" t="str">
        <f t="shared" si="33"/>
        <v>декабрь</v>
      </c>
      <c r="AQ30" s="108" t="str">
        <f>AQ16</f>
        <v>Итого за 3-й год</v>
      </c>
      <c r="AR30" s="108" t="str">
        <f>AR16</f>
        <v>Среднемесячно за 3-й год</v>
      </c>
      <c r="AS30" s="116" t="str">
        <f>AS15</f>
        <v>Итого за три года</v>
      </c>
      <c r="AU30" s="87">
        <f>CHOOSE('Обобщенный расчет'!$N$1,'Исходные данные'!$D75,'Исходные данные'!$E75,'Исходные данные'!$F75)</f>
        <v>168000</v>
      </c>
    </row>
    <row r="31" spans="1:48" s="38" customFormat="1" ht="10.8" thickTop="1" x14ac:dyDescent="0.35">
      <c r="A31" s="61" t="str">
        <f>'Обобщенный расчет'!B18</f>
        <v>Ремонт помещения</v>
      </c>
      <c r="B31" s="24" t="str">
        <f>CHOOSE('Исходные данные'!$O$2,'Исходные данные'!$P$2,'Исходные данные'!$P$3,'Исходные данные'!$P$4,'Исходные данные'!$P$5)</f>
        <v>UAH</v>
      </c>
      <c r="C31" s="36">
        <f>'Обобщенный расчет'!D18</f>
        <v>1680000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52">
        <f t="shared" ref="O31:O38" si="34">SUM(C31:N31)</f>
        <v>1680000</v>
      </c>
      <c r="P31" s="52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52">
        <f t="shared" ref="AC31:AC38" si="35">SUM(Q31:AB31)</f>
        <v>0</v>
      </c>
      <c r="AD31" s="52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52">
        <f t="shared" ref="AQ31:AQ38" si="36">SUM(AE31:AP31)</f>
        <v>0</v>
      </c>
      <c r="AR31" s="52"/>
      <c r="AS31" s="114">
        <f t="shared" ref="AS31:AS39" si="37">O31+AC31+AQ31</f>
        <v>1680000</v>
      </c>
      <c r="AT31" s="37"/>
      <c r="AU31" s="87">
        <f>CHOOSE('Обобщенный расчет'!$N$1,'Исходные данные'!$D76,'Исходные данные'!$E76,'Исходные данные'!$F76)</f>
        <v>0</v>
      </c>
    </row>
    <row r="32" spans="1:48" s="35" customFormat="1" ht="10.5" x14ac:dyDescent="0.35">
      <c r="A32" s="60" t="str">
        <f>'Обобщенный расчет'!B19</f>
        <v>Мебель</v>
      </c>
      <c r="B32" s="21" t="str">
        <f>CHOOSE('Исходные данные'!$O$2,'Исходные данные'!$P$2,'Исходные данные'!$P$3,'Исходные данные'!$P$4,'Исходные данные'!$P$5)</f>
        <v>UAH</v>
      </c>
      <c r="C32" s="33">
        <f>'Обобщенный расчет'!D19</f>
        <v>0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107">
        <f t="shared" ref="O32" si="38">SUM(C32:N32)</f>
        <v>0</v>
      </c>
      <c r="P32" s="107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107">
        <f t="shared" ref="AC32" si="39">SUM(Q32:AB32)</f>
        <v>0</v>
      </c>
      <c r="AD32" s="107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107">
        <f t="shared" ref="AQ32" si="40">SUM(AE32:AP32)</f>
        <v>0</v>
      </c>
      <c r="AR32" s="107"/>
      <c r="AS32" s="114">
        <f t="shared" ref="AS32" si="41">O32+AC32+AQ32</f>
        <v>0</v>
      </c>
      <c r="AT32" s="34"/>
      <c r="AU32" s="87">
        <f>CHOOSE('Обобщенный расчет'!$N$1,'Исходные данные'!$D77,'Исходные данные'!$E77,'Исходные данные'!$F77)</f>
        <v>1428000</v>
      </c>
    </row>
    <row r="33" spans="1:47" s="38" customFormat="1" ht="10.5" x14ac:dyDescent="0.35">
      <c r="A33" s="61" t="str">
        <f>'Обобщенный расчет'!B20</f>
        <v>Оборудование</v>
      </c>
      <c r="B33" s="24" t="str">
        <f>CHOOSE('Исходные данные'!$O$2,'Исходные данные'!$P$2,'Исходные данные'!$P$3,'Исходные данные'!$P$4,'Исходные данные'!$P$5)</f>
        <v>UAH</v>
      </c>
      <c r="C33" s="36">
        <f>'Обобщенный расчет'!D20</f>
        <v>0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52">
        <f t="shared" si="34"/>
        <v>0</v>
      </c>
      <c r="P33" s="52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52">
        <f t="shared" si="35"/>
        <v>0</v>
      </c>
      <c r="AD33" s="52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52">
        <f t="shared" si="36"/>
        <v>0</v>
      </c>
      <c r="AR33" s="52"/>
      <c r="AS33" s="114">
        <f t="shared" si="37"/>
        <v>0</v>
      </c>
      <c r="AT33" s="37"/>
      <c r="AU33" s="87">
        <f>CHOOSE('Обобщенный расчет'!$N$1,'Исходные данные'!$D78,'Исходные данные'!$E78,'Исходные данные'!$F78)</f>
        <v>0</v>
      </c>
    </row>
    <row r="34" spans="1:47" s="35" customFormat="1" ht="10.5" x14ac:dyDescent="0.35">
      <c r="A34" s="60" t="str">
        <f>'Обобщенный расчет'!B21</f>
        <v>Видеонаблюдение</v>
      </c>
      <c r="B34" s="21" t="str">
        <f>CHOOSE('Исходные данные'!$O$2,'Исходные данные'!$P$2,'Исходные данные'!$P$3,'Исходные данные'!$P$4,'Исходные данные'!$P$5)</f>
        <v>UAH</v>
      </c>
      <c r="C34" s="33">
        <f>'Обобщенный расчет'!D21</f>
        <v>0</v>
      </c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107">
        <f t="shared" si="34"/>
        <v>0</v>
      </c>
      <c r="P34" s="107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107">
        <f t="shared" si="35"/>
        <v>0</v>
      </c>
      <c r="AD34" s="107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107">
        <f t="shared" si="36"/>
        <v>0</v>
      </c>
      <c r="AR34" s="107"/>
      <c r="AS34" s="114">
        <f t="shared" si="37"/>
        <v>0</v>
      </c>
      <c r="AT34" s="34"/>
      <c r="AU34" s="87">
        <f>CHOOSE('Обобщенный расчет'!$N$1,'Исходные данные'!$D79,'Исходные данные'!$E79,'Исходные данные'!$F79)</f>
        <v>0</v>
      </c>
    </row>
    <row r="35" spans="1:47" s="38" customFormat="1" ht="10.5" x14ac:dyDescent="0.35">
      <c r="A35" s="61" t="str">
        <f>'Обобщенный расчет'!B22</f>
        <v>Сигнализация (охранная и пожарная)</v>
      </c>
      <c r="B35" s="24" t="str">
        <f>CHOOSE('Исходные данные'!$O$2,'Исходные данные'!$P$2,'Исходные данные'!$P$3,'Исходные данные'!$P$4,'Исходные данные'!$P$5)</f>
        <v>UAH</v>
      </c>
      <c r="C35" s="36">
        <f>'Обобщенный расчет'!D22</f>
        <v>0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52">
        <f t="shared" si="34"/>
        <v>0</v>
      </c>
      <c r="P35" s="52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52">
        <f t="shared" si="35"/>
        <v>0</v>
      </c>
      <c r="AD35" s="52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52">
        <f t="shared" si="36"/>
        <v>0</v>
      </c>
      <c r="AR35" s="52"/>
      <c r="AS35" s="114">
        <f t="shared" si="37"/>
        <v>0</v>
      </c>
      <c r="AT35" s="37"/>
      <c r="AU35" s="87">
        <f>CHOOSE('Обобщенный расчет'!$N$1,'Исходные данные'!$D80,'Исходные данные'!$E80,'Исходные данные'!$F80)</f>
        <v>0</v>
      </c>
    </row>
    <row r="36" spans="1:47" s="35" customFormat="1" ht="10.5" x14ac:dyDescent="0.35">
      <c r="A36" s="60" t="str">
        <f>'Обобщенный расчет'!B23</f>
        <v>Рекламная кампания</v>
      </c>
      <c r="B36" s="21" t="str">
        <f>CHOOSE('Исходные данные'!$O$2,'Исходные данные'!$P$2,'Исходные данные'!$P$3,'Исходные данные'!$P$4,'Исходные данные'!$P$5)</f>
        <v>UAH</v>
      </c>
      <c r="C36" s="33">
        <f>'Обобщенный расчет'!D23</f>
        <v>0</v>
      </c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107">
        <f t="shared" si="34"/>
        <v>0</v>
      </c>
      <c r="P36" s="107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107">
        <f t="shared" si="35"/>
        <v>0</v>
      </c>
      <c r="AD36" s="107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107">
        <f t="shared" si="36"/>
        <v>0</v>
      </c>
      <c r="AR36" s="107"/>
      <c r="AS36" s="114">
        <f t="shared" si="37"/>
        <v>0</v>
      </c>
      <c r="AT36" s="34"/>
    </row>
    <row r="37" spans="1:47" s="38" customFormat="1" ht="10.5" x14ac:dyDescent="0.35">
      <c r="A37" s="61" t="str">
        <f>'Обобщенный расчет'!B24</f>
        <v>Паушальный взнос</v>
      </c>
      <c r="B37" s="24" t="str">
        <f>CHOOSE('Исходные данные'!$O$2,'Исходные данные'!$P$2,'Исходные данные'!$P$3,'Исходные данные'!$P$4,'Исходные данные'!$P$5)</f>
        <v>UAH</v>
      </c>
      <c r="C37" s="36">
        <f>'Обобщенный расчет'!D24</f>
        <v>224000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52">
        <f t="shared" si="34"/>
        <v>224000</v>
      </c>
      <c r="P37" s="52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52">
        <f t="shared" si="35"/>
        <v>0</v>
      </c>
      <c r="AD37" s="52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52">
        <f t="shared" si="36"/>
        <v>0</v>
      </c>
      <c r="AR37" s="52"/>
      <c r="AS37" s="114">
        <f t="shared" si="37"/>
        <v>224000</v>
      </c>
      <c r="AT37" s="37"/>
    </row>
    <row r="38" spans="1:47" s="35" customFormat="1" ht="10.5" x14ac:dyDescent="0.35">
      <c r="A38" s="60" t="str">
        <f>'Обобщенный расчет'!B25</f>
        <v>Прочее</v>
      </c>
      <c r="B38" s="21" t="str">
        <f>CHOOSE('Исходные данные'!$O$2,'Исходные данные'!$P$2,'Исходные данные'!$P$3,'Исходные данные'!$P$4,'Исходные данные'!$P$5)</f>
        <v>UAH</v>
      </c>
      <c r="C38" s="33">
        <f>'Обобщенный расчет'!D25</f>
        <v>0</v>
      </c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107">
        <f t="shared" si="34"/>
        <v>0</v>
      </c>
      <c r="P38" s="107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107">
        <f t="shared" si="35"/>
        <v>0</v>
      </c>
      <c r="AD38" s="107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107">
        <f t="shared" si="36"/>
        <v>0</v>
      </c>
      <c r="AR38" s="107"/>
      <c r="AS38" s="114">
        <f t="shared" si="37"/>
        <v>0</v>
      </c>
      <c r="AT38" s="34"/>
    </row>
    <row r="39" spans="1:47" s="27" customFormat="1" ht="10.5" x14ac:dyDescent="0.35">
      <c r="A39" s="28" t="s">
        <v>9</v>
      </c>
      <c r="B39" s="29" t="str">
        <f>CHOOSE('Исходные данные'!$O$2,'Исходные данные'!$P$2,'Исходные данные'!$P$3,'Исходные данные'!$P$4,'Исходные данные'!$P$5)</f>
        <v>UAH</v>
      </c>
      <c r="C39" s="96">
        <f t="shared" ref="C39:O39" si="42">SUM(C31:C38)</f>
        <v>1904000</v>
      </c>
      <c r="D39" s="96">
        <f t="shared" si="42"/>
        <v>0</v>
      </c>
      <c r="E39" s="96">
        <f t="shared" si="42"/>
        <v>0</v>
      </c>
      <c r="F39" s="96">
        <f t="shared" si="42"/>
        <v>0</v>
      </c>
      <c r="G39" s="96">
        <f t="shared" si="42"/>
        <v>0</v>
      </c>
      <c r="H39" s="96">
        <f t="shared" si="42"/>
        <v>0</v>
      </c>
      <c r="I39" s="96">
        <f t="shared" si="42"/>
        <v>0</v>
      </c>
      <c r="J39" s="96">
        <f t="shared" si="42"/>
        <v>0</v>
      </c>
      <c r="K39" s="96">
        <f t="shared" si="42"/>
        <v>0</v>
      </c>
      <c r="L39" s="96">
        <f t="shared" si="42"/>
        <v>0</v>
      </c>
      <c r="M39" s="96">
        <f t="shared" si="42"/>
        <v>0</v>
      </c>
      <c r="N39" s="96">
        <f t="shared" si="42"/>
        <v>0</v>
      </c>
      <c r="O39" s="96">
        <f t="shared" si="42"/>
        <v>1904000</v>
      </c>
      <c r="P39" s="96"/>
      <c r="Q39" s="96">
        <f t="shared" ref="Q39:AC39" si="43">SUM(Q31:Q38)</f>
        <v>0</v>
      </c>
      <c r="R39" s="96">
        <f t="shared" si="43"/>
        <v>0</v>
      </c>
      <c r="S39" s="96">
        <f t="shared" si="43"/>
        <v>0</v>
      </c>
      <c r="T39" s="96">
        <f t="shared" si="43"/>
        <v>0</v>
      </c>
      <c r="U39" s="96">
        <f t="shared" si="43"/>
        <v>0</v>
      </c>
      <c r="V39" s="96">
        <f t="shared" si="43"/>
        <v>0</v>
      </c>
      <c r="W39" s="96">
        <f t="shared" si="43"/>
        <v>0</v>
      </c>
      <c r="X39" s="96">
        <f t="shared" si="43"/>
        <v>0</v>
      </c>
      <c r="Y39" s="96">
        <f t="shared" si="43"/>
        <v>0</v>
      </c>
      <c r="Z39" s="96">
        <f t="shared" si="43"/>
        <v>0</v>
      </c>
      <c r="AA39" s="96">
        <f t="shared" si="43"/>
        <v>0</v>
      </c>
      <c r="AB39" s="96">
        <f t="shared" si="43"/>
        <v>0</v>
      </c>
      <c r="AC39" s="96">
        <f t="shared" si="43"/>
        <v>0</v>
      </c>
      <c r="AD39" s="96"/>
      <c r="AE39" s="96">
        <f t="shared" ref="AE39:AQ39" si="44">SUM(AE31:AE38)</f>
        <v>0</v>
      </c>
      <c r="AF39" s="96">
        <f t="shared" si="44"/>
        <v>0</v>
      </c>
      <c r="AG39" s="96">
        <f t="shared" si="44"/>
        <v>0</v>
      </c>
      <c r="AH39" s="96">
        <f t="shared" si="44"/>
        <v>0</v>
      </c>
      <c r="AI39" s="96">
        <f t="shared" si="44"/>
        <v>0</v>
      </c>
      <c r="AJ39" s="96">
        <f t="shared" si="44"/>
        <v>0</v>
      </c>
      <c r="AK39" s="96">
        <f t="shared" si="44"/>
        <v>0</v>
      </c>
      <c r="AL39" s="96">
        <f t="shared" si="44"/>
        <v>0</v>
      </c>
      <c r="AM39" s="96">
        <f t="shared" si="44"/>
        <v>0</v>
      </c>
      <c r="AN39" s="96">
        <f t="shared" si="44"/>
        <v>0</v>
      </c>
      <c r="AO39" s="96">
        <f t="shared" si="44"/>
        <v>0</v>
      </c>
      <c r="AP39" s="96">
        <f t="shared" si="44"/>
        <v>0</v>
      </c>
      <c r="AQ39" s="96">
        <f t="shared" si="44"/>
        <v>0</v>
      </c>
      <c r="AR39" s="96"/>
      <c r="AS39" s="115">
        <f t="shared" si="37"/>
        <v>1904000</v>
      </c>
      <c r="AT39" s="26"/>
    </row>
    <row r="40" spans="1:47" s="145" customFormat="1" ht="10.8" thickBot="1" x14ac:dyDescent="0.4">
      <c r="A40" s="141"/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4"/>
    </row>
    <row r="41" spans="1:47" s="13" customFormat="1" ht="21.6" thickTop="1" thickBot="1" x14ac:dyDescent="0.4">
      <c r="A41" s="14" t="s">
        <v>8</v>
      </c>
      <c r="B41" s="15"/>
      <c r="C41" s="19" t="str">
        <f t="shared" ref="C41:N41" si="45">C$6</f>
        <v>январь</v>
      </c>
      <c r="D41" s="19" t="str">
        <f t="shared" si="45"/>
        <v>февраль</v>
      </c>
      <c r="E41" s="19" t="str">
        <f t="shared" si="45"/>
        <v>март</v>
      </c>
      <c r="F41" s="19" t="str">
        <f t="shared" si="45"/>
        <v>апрель</v>
      </c>
      <c r="G41" s="19" t="str">
        <f t="shared" si="45"/>
        <v>май</v>
      </c>
      <c r="H41" s="19" t="str">
        <f t="shared" si="45"/>
        <v>июнь</v>
      </c>
      <c r="I41" s="19" t="str">
        <f t="shared" si="45"/>
        <v>июль</v>
      </c>
      <c r="J41" s="19" t="str">
        <f t="shared" si="45"/>
        <v>август</v>
      </c>
      <c r="K41" s="19" t="str">
        <f t="shared" si="45"/>
        <v>сентябрь</v>
      </c>
      <c r="L41" s="19" t="str">
        <f t="shared" si="45"/>
        <v>октябрь</v>
      </c>
      <c r="M41" s="19" t="str">
        <f t="shared" si="45"/>
        <v>ноябрь</v>
      </c>
      <c r="N41" s="19" t="str">
        <f t="shared" si="45"/>
        <v>декабрь</v>
      </c>
      <c r="O41" s="108" t="str">
        <f>$O$16</f>
        <v>Итого за 1-й год</v>
      </c>
      <c r="P41" s="108" t="str">
        <f>$P$16</f>
        <v>Среднемесячно за 1-й год</v>
      </c>
      <c r="Q41" s="19" t="str">
        <f t="shared" ref="Q41:AB41" si="46">Q$6</f>
        <v>январь</v>
      </c>
      <c r="R41" s="19" t="str">
        <f t="shared" si="46"/>
        <v>февраль</v>
      </c>
      <c r="S41" s="19" t="str">
        <f t="shared" si="46"/>
        <v>март</v>
      </c>
      <c r="T41" s="19" t="str">
        <f t="shared" si="46"/>
        <v>апрель</v>
      </c>
      <c r="U41" s="19" t="str">
        <f t="shared" si="46"/>
        <v>май</v>
      </c>
      <c r="V41" s="19" t="str">
        <f t="shared" si="46"/>
        <v>июнь</v>
      </c>
      <c r="W41" s="19" t="str">
        <f t="shared" si="46"/>
        <v>июль</v>
      </c>
      <c r="X41" s="19" t="str">
        <f t="shared" si="46"/>
        <v>август</v>
      </c>
      <c r="Y41" s="19" t="str">
        <f t="shared" si="46"/>
        <v>сентябрь</v>
      </c>
      <c r="Z41" s="19" t="str">
        <f t="shared" si="46"/>
        <v>октябрь</v>
      </c>
      <c r="AA41" s="19" t="str">
        <f t="shared" si="46"/>
        <v>ноябрь</v>
      </c>
      <c r="AB41" s="19" t="str">
        <f t="shared" si="46"/>
        <v>декабрь</v>
      </c>
      <c r="AC41" s="108" t="str">
        <f>AC30</f>
        <v>Итого за 2-й год</v>
      </c>
      <c r="AD41" s="108" t="str">
        <f>AD30</f>
        <v>Среднемесячно за 2-й год</v>
      </c>
      <c r="AE41" s="19" t="str">
        <f t="shared" ref="AE41:AP41" si="47">AE$6</f>
        <v>январь</v>
      </c>
      <c r="AF41" s="19" t="str">
        <f t="shared" si="47"/>
        <v>февраль</v>
      </c>
      <c r="AG41" s="19" t="str">
        <f t="shared" si="47"/>
        <v>март</v>
      </c>
      <c r="AH41" s="19" t="str">
        <f t="shared" si="47"/>
        <v>апрель</v>
      </c>
      <c r="AI41" s="19" t="str">
        <f t="shared" si="47"/>
        <v>май</v>
      </c>
      <c r="AJ41" s="19" t="str">
        <f t="shared" si="47"/>
        <v>июнь</v>
      </c>
      <c r="AK41" s="19" t="str">
        <f t="shared" si="47"/>
        <v>июль</v>
      </c>
      <c r="AL41" s="19" t="str">
        <f t="shared" si="47"/>
        <v>август</v>
      </c>
      <c r="AM41" s="19" t="str">
        <f t="shared" si="47"/>
        <v>сентябрь</v>
      </c>
      <c r="AN41" s="19" t="str">
        <f t="shared" si="47"/>
        <v>октябрь</v>
      </c>
      <c r="AO41" s="19" t="str">
        <f t="shared" si="47"/>
        <v>ноябрь</v>
      </c>
      <c r="AP41" s="19" t="str">
        <f t="shared" si="47"/>
        <v>декабрь</v>
      </c>
      <c r="AQ41" s="108" t="str">
        <f>AQ30</f>
        <v>Итого за 3-й год</v>
      </c>
      <c r="AR41" s="108" t="str">
        <f>AR30</f>
        <v>Среднемесячно за 3-й год</v>
      </c>
      <c r="AS41" s="116" t="str">
        <f>AS30</f>
        <v>Итого за три года</v>
      </c>
    </row>
    <row r="42" spans="1:47" s="153" customFormat="1" ht="10.5" hidden="1" thickTop="1" x14ac:dyDescent="0.35">
      <c r="A42" s="154" t="s">
        <v>34</v>
      </c>
      <c r="B42" s="151"/>
      <c r="C42" s="155" t="e">
        <f>C24-#REF!-C63</f>
        <v>#REF!</v>
      </c>
      <c r="D42" s="155" t="e">
        <f>D24-#REF!-D63</f>
        <v>#REF!</v>
      </c>
      <c r="E42" s="155" t="e">
        <f>E24-#REF!-E63</f>
        <v>#REF!</v>
      </c>
      <c r="F42" s="155" t="e">
        <f>F24-#REF!-F63</f>
        <v>#REF!</v>
      </c>
      <c r="G42" s="155" t="e">
        <f>G24-#REF!-G63</f>
        <v>#REF!</v>
      </c>
      <c r="H42" s="155" t="e">
        <f>H24-#REF!-H63</f>
        <v>#REF!</v>
      </c>
      <c r="I42" s="155" t="e">
        <f>I24-#REF!-I63</f>
        <v>#REF!</v>
      </c>
      <c r="J42" s="155" t="e">
        <f>J24-#REF!-J63</f>
        <v>#REF!</v>
      </c>
      <c r="K42" s="155" t="e">
        <f>K24-#REF!-K63</f>
        <v>#REF!</v>
      </c>
      <c r="L42" s="155" t="e">
        <f>L24-#REF!-L63</f>
        <v>#REF!</v>
      </c>
      <c r="M42" s="155" t="e">
        <f>M24-#REF!-M63</f>
        <v>#REF!</v>
      </c>
      <c r="N42" s="155" t="e">
        <f>N24-#REF!-N63</f>
        <v>#REF!</v>
      </c>
      <c r="O42" s="152"/>
      <c r="P42" s="152"/>
      <c r="Q42" s="155" t="e">
        <f>Q24-#REF!-Q63</f>
        <v>#REF!</v>
      </c>
      <c r="R42" s="155" t="e">
        <f>R24-#REF!-R63</f>
        <v>#REF!</v>
      </c>
      <c r="S42" s="155" t="e">
        <f>S24-#REF!-S63</f>
        <v>#REF!</v>
      </c>
      <c r="T42" s="155" t="e">
        <f>T24-#REF!-T63</f>
        <v>#REF!</v>
      </c>
      <c r="U42" s="155" t="e">
        <f>U24-#REF!-U63</f>
        <v>#REF!</v>
      </c>
      <c r="V42" s="155" t="e">
        <f>V24-#REF!-V63</f>
        <v>#REF!</v>
      </c>
      <c r="W42" s="155" t="e">
        <f>W24-#REF!-W63</f>
        <v>#REF!</v>
      </c>
      <c r="X42" s="155" t="e">
        <f>X24-#REF!-X63</f>
        <v>#REF!</v>
      </c>
      <c r="Y42" s="155" t="e">
        <f>Y24-#REF!-Y63</f>
        <v>#REF!</v>
      </c>
      <c r="Z42" s="155" t="e">
        <f>Z24-#REF!-Z63</f>
        <v>#REF!</v>
      </c>
      <c r="AA42" s="155" t="e">
        <f>AA24-#REF!-AA63</f>
        <v>#REF!</v>
      </c>
      <c r="AB42" s="155" t="e">
        <f>AB24-#REF!-AB63</f>
        <v>#REF!</v>
      </c>
      <c r="AC42" s="152"/>
      <c r="AD42" s="152"/>
      <c r="AE42" s="155" t="e">
        <f>AE24-#REF!-AE63</f>
        <v>#REF!</v>
      </c>
      <c r="AF42" s="155" t="e">
        <f>AF24-#REF!-AF63</f>
        <v>#REF!</v>
      </c>
      <c r="AG42" s="155" t="e">
        <f>AG24-#REF!-AG63</f>
        <v>#REF!</v>
      </c>
      <c r="AH42" s="155" t="e">
        <f>AH24-#REF!-AH63</f>
        <v>#REF!</v>
      </c>
      <c r="AI42" s="155" t="e">
        <f>AI24-#REF!-AI63</f>
        <v>#REF!</v>
      </c>
      <c r="AJ42" s="155" t="e">
        <f>AJ24-#REF!-AJ63</f>
        <v>#REF!</v>
      </c>
      <c r="AK42" s="155" t="e">
        <f>AK24-#REF!-AK63</f>
        <v>#REF!</v>
      </c>
      <c r="AL42" s="155" t="e">
        <f>AL24-#REF!-AL63</f>
        <v>#REF!</v>
      </c>
      <c r="AM42" s="155" t="e">
        <f>AM24-#REF!-AM63</f>
        <v>#REF!</v>
      </c>
      <c r="AN42" s="155" t="e">
        <f>AN24-#REF!-AN63</f>
        <v>#REF!</v>
      </c>
      <c r="AO42" s="155" t="e">
        <f>AO24-#REF!-AO63</f>
        <v>#REF!</v>
      </c>
      <c r="AP42" s="155" t="e">
        <f>AP24-#REF!-AP63</f>
        <v>#REF!</v>
      </c>
      <c r="AQ42" s="152"/>
      <c r="AR42" s="152"/>
      <c r="AS42" s="152"/>
    </row>
    <row r="43" spans="1:47" s="153" customFormat="1" ht="10.199999999999999" hidden="1" x14ac:dyDescent="0.35">
      <c r="A43" s="154" t="s">
        <v>72</v>
      </c>
      <c r="B43" s="151"/>
      <c r="C43" s="155" t="e">
        <f>C42+B43</f>
        <v>#REF!</v>
      </c>
      <c r="D43" s="155" t="e">
        <f t="shared" ref="D43:N43" si="48">D42+C43</f>
        <v>#REF!</v>
      </c>
      <c r="E43" s="155" t="e">
        <f t="shared" si="48"/>
        <v>#REF!</v>
      </c>
      <c r="F43" s="155" t="e">
        <f t="shared" si="48"/>
        <v>#REF!</v>
      </c>
      <c r="G43" s="155" t="e">
        <f t="shared" si="48"/>
        <v>#REF!</v>
      </c>
      <c r="H43" s="155" t="e">
        <f t="shared" si="48"/>
        <v>#REF!</v>
      </c>
      <c r="I43" s="155" t="e">
        <f t="shared" si="48"/>
        <v>#REF!</v>
      </c>
      <c r="J43" s="155" t="e">
        <f t="shared" si="48"/>
        <v>#REF!</v>
      </c>
      <c r="K43" s="155" t="e">
        <f t="shared" si="48"/>
        <v>#REF!</v>
      </c>
      <c r="L43" s="155" t="e">
        <f t="shared" si="48"/>
        <v>#REF!</v>
      </c>
      <c r="M43" s="155" t="e">
        <f t="shared" si="48"/>
        <v>#REF!</v>
      </c>
      <c r="N43" s="155" t="e">
        <f t="shared" si="48"/>
        <v>#REF!</v>
      </c>
      <c r="O43" s="152"/>
      <c r="P43" s="152"/>
      <c r="Q43" s="155" t="e">
        <f>Q42+N43</f>
        <v>#REF!</v>
      </c>
      <c r="R43" s="155" t="e">
        <f t="shared" ref="R43:AB43" si="49">R42+Q43</f>
        <v>#REF!</v>
      </c>
      <c r="S43" s="155" t="e">
        <f t="shared" si="49"/>
        <v>#REF!</v>
      </c>
      <c r="T43" s="155" t="e">
        <f t="shared" si="49"/>
        <v>#REF!</v>
      </c>
      <c r="U43" s="155" t="e">
        <f t="shared" si="49"/>
        <v>#REF!</v>
      </c>
      <c r="V43" s="155" t="e">
        <f t="shared" si="49"/>
        <v>#REF!</v>
      </c>
      <c r="W43" s="155" t="e">
        <f t="shared" si="49"/>
        <v>#REF!</v>
      </c>
      <c r="X43" s="155" t="e">
        <f t="shared" si="49"/>
        <v>#REF!</v>
      </c>
      <c r="Y43" s="155" t="e">
        <f t="shared" si="49"/>
        <v>#REF!</v>
      </c>
      <c r="Z43" s="155" t="e">
        <f t="shared" si="49"/>
        <v>#REF!</v>
      </c>
      <c r="AA43" s="155" t="e">
        <f t="shared" si="49"/>
        <v>#REF!</v>
      </c>
      <c r="AB43" s="155" t="e">
        <f t="shared" si="49"/>
        <v>#REF!</v>
      </c>
      <c r="AC43" s="152"/>
      <c r="AD43" s="152"/>
      <c r="AE43" s="155" t="e">
        <f>AE42+AB43</f>
        <v>#REF!</v>
      </c>
      <c r="AF43" s="155" t="e">
        <f t="shared" ref="AF43:AP43" si="50">AF42+AE43</f>
        <v>#REF!</v>
      </c>
      <c r="AG43" s="155" t="e">
        <f t="shared" si="50"/>
        <v>#REF!</v>
      </c>
      <c r="AH43" s="155" t="e">
        <f t="shared" si="50"/>
        <v>#REF!</v>
      </c>
      <c r="AI43" s="155" t="e">
        <f t="shared" si="50"/>
        <v>#REF!</v>
      </c>
      <c r="AJ43" s="155" t="e">
        <f t="shared" si="50"/>
        <v>#REF!</v>
      </c>
      <c r="AK43" s="155" t="e">
        <f t="shared" si="50"/>
        <v>#REF!</v>
      </c>
      <c r="AL43" s="155" t="e">
        <f t="shared" si="50"/>
        <v>#REF!</v>
      </c>
      <c r="AM43" s="155" t="e">
        <f t="shared" si="50"/>
        <v>#REF!</v>
      </c>
      <c r="AN43" s="155" t="e">
        <f t="shared" si="50"/>
        <v>#REF!</v>
      </c>
      <c r="AO43" s="155" t="e">
        <f t="shared" si="50"/>
        <v>#REF!</v>
      </c>
      <c r="AP43" s="155" t="e">
        <f t="shared" si="50"/>
        <v>#REF!</v>
      </c>
      <c r="AQ43" s="152"/>
      <c r="AR43" s="152"/>
      <c r="AS43" s="152"/>
    </row>
    <row r="44" spans="1:47" s="153" customFormat="1" ht="10.199999999999999" hidden="1" x14ac:dyDescent="0.35">
      <c r="A44" s="154" t="s">
        <v>85</v>
      </c>
      <c r="B44" s="151"/>
      <c r="C44" s="155" t="e">
        <f>IF(C38&gt;0,-C43-C38,C42)</f>
        <v>#REF!</v>
      </c>
      <c r="D44" s="155" t="e">
        <f t="shared" ref="D44:N44" si="51">IF(D38&gt;0,C44+(-D42-D38),C44+D42)</f>
        <v>#REF!</v>
      </c>
      <c r="E44" s="155" t="e">
        <f t="shared" si="51"/>
        <v>#REF!</v>
      </c>
      <c r="F44" s="155" t="e">
        <f t="shared" si="51"/>
        <v>#REF!</v>
      </c>
      <c r="G44" s="155" t="e">
        <f t="shared" si="51"/>
        <v>#REF!</v>
      </c>
      <c r="H44" s="155" t="e">
        <f t="shared" si="51"/>
        <v>#REF!</v>
      </c>
      <c r="I44" s="155" t="e">
        <f t="shared" si="51"/>
        <v>#REF!</v>
      </c>
      <c r="J44" s="155" t="e">
        <f t="shared" si="51"/>
        <v>#REF!</v>
      </c>
      <c r="K44" s="155" t="e">
        <f t="shared" si="51"/>
        <v>#REF!</v>
      </c>
      <c r="L44" s="155" t="e">
        <f t="shared" si="51"/>
        <v>#REF!</v>
      </c>
      <c r="M44" s="155" t="e">
        <f t="shared" si="51"/>
        <v>#REF!</v>
      </c>
      <c r="N44" s="155" t="e">
        <f t="shared" si="51"/>
        <v>#REF!</v>
      </c>
      <c r="O44" s="152"/>
      <c r="P44" s="152"/>
      <c r="Q44" s="155" t="e">
        <f>IF(Q38&gt;0,N44+(-Q42-Q38),N44+Q42)</f>
        <v>#REF!</v>
      </c>
      <c r="R44" s="155" t="e">
        <f t="shared" ref="R44:AB44" si="52">IF(R38&gt;0,Q44+(-R42-R38),Q44+R42)</f>
        <v>#REF!</v>
      </c>
      <c r="S44" s="155" t="e">
        <f t="shared" si="52"/>
        <v>#REF!</v>
      </c>
      <c r="T44" s="155" t="e">
        <f t="shared" si="52"/>
        <v>#REF!</v>
      </c>
      <c r="U44" s="155" t="e">
        <f t="shared" si="52"/>
        <v>#REF!</v>
      </c>
      <c r="V44" s="155" t="e">
        <f t="shared" si="52"/>
        <v>#REF!</v>
      </c>
      <c r="W44" s="155" t="e">
        <f t="shared" si="52"/>
        <v>#REF!</v>
      </c>
      <c r="X44" s="155" t="e">
        <f t="shared" si="52"/>
        <v>#REF!</v>
      </c>
      <c r="Y44" s="155" t="e">
        <f t="shared" si="52"/>
        <v>#REF!</v>
      </c>
      <c r="Z44" s="155" t="e">
        <f t="shared" si="52"/>
        <v>#REF!</v>
      </c>
      <c r="AA44" s="155" t="e">
        <f t="shared" si="52"/>
        <v>#REF!</v>
      </c>
      <c r="AB44" s="155" t="e">
        <f t="shared" si="52"/>
        <v>#REF!</v>
      </c>
      <c r="AC44" s="152"/>
      <c r="AD44" s="152"/>
      <c r="AE44" s="155" t="e">
        <f>IF(AE38&gt;0,AB44+(-AE42-AE38),AB44+AE42)</f>
        <v>#REF!</v>
      </c>
      <c r="AF44" s="155" t="e">
        <f t="shared" ref="AF44:AP44" si="53">IF(AF38&gt;0,AE44+(-AF42-AF38),AE44+AF42)</f>
        <v>#REF!</v>
      </c>
      <c r="AG44" s="155" t="e">
        <f t="shared" si="53"/>
        <v>#REF!</v>
      </c>
      <c r="AH44" s="155" t="e">
        <f t="shared" si="53"/>
        <v>#REF!</v>
      </c>
      <c r="AI44" s="155" t="e">
        <f t="shared" si="53"/>
        <v>#REF!</v>
      </c>
      <c r="AJ44" s="155" t="e">
        <f t="shared" si="53"/>
        <v>#REF!</v>
      </c>
      <c r="AK44" s="155" t="e">
        <f t="shared" si="53"/>
        <v>#REF!</v>
      </c>
      <c r="AL44" s="155" t="e">
        <f t="shared" si="53"/>
        <v>#REF!</v>
      </c>
      <c r="AM44" s="155" t="e">
        <f t="shared" si="53"/>
        <v>#REF!</v>
      </c>
      <c r="AN44" s="155" t="e">
        <f t="shared" si="53"/>
        <v>#REF!</v>
      </c>
      <c r="AO44" s="155" t="e">
        <f t="shared" si="53"/>
        <v>#REF!</v>
      </c>
      <c r="AP44" s="155" t="e">
        <f t="shared" si="53"/>
        <v>#REF!</v>
      </c>
      <c r="AQ44" s="152"/>
      <c r="AR44" s="152"/>
      <c r="AS44" s="152"/>
    </row>
    <row r="45" spans="1:47" s="153" customFormat="1" ht="10.199999999999999" hidden="1" x14ac:dyDescent="0.35">
      <c r="A45" s="154"/>
      <c r="B45" s="151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2"/>
      <c r="P45" s="152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2"/>
      <c r="AD45" s="152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2"/>
      <c r="AR45" s="152"/>
      <c r="AS45" s="152"/>
    </row>
    <row r="46" spans="1:47" s="38" customFormat="1" ht="10.8" thickTop="1" x14ac:dyDescent="0.35">
      <c r="A46" s="61" t="str">
        <f>'Обобщенный расчет'!B39</f>
        <v>Зарплата персонала</v>
      </c>
      <c r="B46" s="24" t="str">
        <f>CHOOSE('Исходные данные'!$O$2,'Исходные данные'!$P$2,'Исходные данные'!$P$3,'Исходные данные'!$P$4,'Исходные данные'!$P$5)</f>
        <v>UAH</v>
      </c>
      <c r="C46" s="36">
        <f>C9*('Обобщенный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расчет'!$I$34)*C24</f>
        <v>31300</v>
      </c>
      <c r="D46" s="36">
        <f>D9*('Обобщенный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расчет'!$I$34)*D24</f>
        <v>31300</v>
      </c>
      <c r="E46" s="36">
        <f>E9*('Обобщенный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расчет'!$I$34)*E24</f>
        <v>31300</v>
      </c>
      <c r="F46" s="36">
        <f>F9*('Обобщенный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расчет'!$I$34)*F24</f>
        <v>31300</v>
      </c>
      <c r="G46" s="36">
        <f>G9*('Обобщенный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расчет'!$I$34)*G24</f>
        <v>31300</v>
      </c>
      <c r="H46" s="36">
        <f>H9*('Обобщенный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расчет'!$I$34)*H24</f>
        <v>31300</v>
      </c>
      <c r="I46" s="36">
        <f>I9*('Обобщенный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расчет'!$I$34)*I24</f>
        <v>31300</v>
      </c>
      <c r="J46" s="36">
        <f>J9*('Обобщенный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расчет'!$I$34)*J24</f>
        <v>31300</v>
      </c>
      <c r="K46" s="36">
        <f>K9*('Обобщенный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расчет'!$I$34)*K24</f>
        <v>31300</v>
      </c>
      <c r="L46" s="36">
        <f>L9*('Обобщенный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расчет'!$I$34)*L24</f>
        <v>31300</v>
      </c>
      <c r="M46" s="36">
        <f>M9*('Обобщенный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расчет'!$I$34)*M24</f>
        <v>31300</v>
      </c>
      <c r="N46" s="36">
        <f>N9*('Обобщенный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расчет'!$I$34)*N24</f>
        <v>31300</v>
      </c>
      <c r="O46" s="52">
        <f t="shared" ref="O46:O52" si="54">SUM(C46:N46)</f>
        <v>375600</v>
      </c>
      <c r="P46" s="52">
        <f t="shared" ref="P46:P52" si="55">O46/12</f>
        <v>31300</v>
      </c>
      <c r="Q46" s="36">
        <f>Q9*('Обобщенный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расчет'!$I$34)*Q24</f>
        <v>34430</v>
      </c>
      <c r="R46" s="36">
        <f>R9*('Обобщенный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расчет'!$I$34)*R24</f>
        <v>34430</v>
      </c>
      <c r="S46" s="36">
        <f>S9*('Обобщенный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расчет'!$I$34)*S24</f>
        <v>34430</v>
      </c>
      <c r="T46" s="36">
        <f>T9*('Обобщенный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расчет'!$I$34)*T24</f>
        <v>34430</v>
      </c>
      <c r="U46" s="36">
        <f>U9*('Обобщенный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расчет'!$I$34)*U24</f>
        <v>34430</v>
      </c>
      <c r="V46" s="36">
        <f>V9*('Обобщенный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расчет'!$I$34)*V24</f>
        <v>34430</v>
      </c>
      <c r="W46" s="36">
        <f>W9*('Обобщенный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расчет'!$I$34)*W24</f>
        <v>34430</v>
      </c>
      <c r="X46" s="36">
        <f>X9*('Обобщенный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расчет'!$I$34)*X24</f>
        <v>34430</v>
      </c>
      <c r="Y46" s="36">
        <f>Y9*('Обобщенный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расчет'!$I$34)*Y24</f>
        <v>34430</v>
      </c>
      <c r="Z46" s="36">
        <f>Z9*('Обобщенный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расчет'!$I$34)*Z24</f>
        <v>34430</v>
      </c>
      <c r="AA46" s="36">
        <f>AA9*('Обобщенный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расчет'!$I$34)*AA24</f>
        <v>34430</v>
      </c>
      <c r="AB46" s="36">
        <f>AB9*('Обобщенный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расчет'!$I$34)*AB24</f>
        <v>34430</v>
      </c>
      <c r="AC46" s="52">
        <f t="shared" ref="AC46:AC52" si="56">SUM(Q46:AB46)</f>
        <v>413160</v>
      </c>
      <c r="AD46" s="52">
        <f t="shared" ref="AD46:AD52" si="57">AC46/12</f>
        <v>34430</v>
      </c>
      <c r="AE46" s="36">
        <f>AE9*('Обобщенный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расчет'!$I$34)*AE24</f>
        <v>37560</v>
      </c>
      <c r="AF46" s="36">
        <f>AF9*('Обобщенный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расчет'!$I$34)*AF24</f>
        <v>37560</v>
      </c>
      <c r="AG46" s="36">
        <f>AG9*('Обобщенный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расчет'!$I$34)*AG24</f>
        <v>37560</v>
      </c>
      <c r="AH46" s="36">
        <f>AH9*('Обобщенный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расчет'!$I$34)*AH24</f>
        <v>37560</v>
      </c>
      <c r="AI46" s="36">
        <f>AI9*('Обобщенный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расчет'!$I$34)*AI24</f>
        <v>37560</v>
      </c>
      <c r="AJ46" s="36">
        <f>AJ9*('Обобщенный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расчет'!$I$34)*AJ24</f>
        <v>37560</v>
      </c>
      <c r="AK46" s="36">
        <f>AK9*('Обобщенный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расчет'!$I$34)*AK24</f>
        <v>37560</v>
      </c>
      <c r="AL46" s="36">
        <f>AL9*('Обобщенный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расчет'!$I$34)*AL24</f>
        <v>37560</v>
      </c>
      <c r="AM46" s="36">
        <f>AM9*('Обобщенный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расчет'!$I$34)*AM24</f>
        <v>37560</v>
      </c>
      <c r="AN46" s="36">
        <f>AN9*('Обобщенный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расчет'!$I$34)*AN24</f>
        <v>37560</v>
      </c>
      <c r="AO46" s="36">
        <f>AO9*('Обобщенный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расчет'!$I$34)*AO24</f>
        <v>37560</v>
      </c>
      <c r="AP46" s="36">
        <f>AP9*('Обобщенный расчет'!$D$30*'Обобщенный расчет'!$E$30*'Обобщенный расчет'!$G$30+'Обобщенный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расчет'!$D$34*'Обобщенный расчет'!$E$34*'Обобщенный расчет'!$G$34)+('Обобщенный расчет'!$I$30+'Обобщенный расчет'!$I$31+'Обобщенный расчет'!$I$32+'Обобщенный расчет'!$I$33+'Обобщенный расчет'!$I$34)*AP24</f>
        <v>37560</v>
      </c>
      <c r="AQ46" s="52">
        <f t="shared" ref="AQ46:AQ52" si="58">SUM(AE46:AP46)</f>
        <v>450720</v>
      </c>
      <c r="AR46" s="52">
        <f t="shared" ref="AR46:AR52" si="59">AQ46/12</f>
        <v>37560</v>
      </c>
      <c r="AS46" s="114">
        <f t="shared" ref="AS46:AS52" si="60">O46+AC46+AQ46</f>
        <v>1239480</v>
      </c>
      <c r="AT46" s="37"/>
    </row>
    <row r="47" spans="1:47" s="35" customFormat="1" ht="10.5" x14ac:dyDescent="0.35">
      <c r="A47" s="60" t="str">
        <f>'Обобщенный расчет'!B40</f>
        <v>Обучение персонала</v>
      </c>
      <c r="B47" s="21" t="str">
        <f>CHOOSE('Исходные данные'!$O$2,'Исходные данные'!$P$2,'Исходные данные'!$P$3,'Исходные данные'!$P$4,'Исходные данные'!$P$5)</f>
        <v>UAH</v>
      </c>
      <c r="C47" s="33">
        <f>'Обобщенный расчет'!$G$40</f>
        <v>0</v>
      </c>
      <c r="D47" s="33">
        <f>'Обобщенный расчет'!$G$40</f>
        <v>0</v>
      </c>
      <c r="E47" s="33">
        <f>'Обобщенный расчет'!$G$40</f>
        <v>0</v>
      </c>
      <c r="F47" s="33">
        <f>'Обобщенный расчет'!$G$40</f>
        <v>0</v>
      </c>
      <c r="G47" s="33">
        <f>'Обобщенный расчет'!$G$40</f>
        <v>0</v>
      </c>
      <c r="H47" s="33">
        <f>'Обобщенный расчет'!$G$40</f>
        <v>0</v>
      </c>
      <c r="I47" s="33">
        <f>'Обобщенный расчет'!$G$40</f>
        <v>0</v>
      </c>
      <c r="J47" s="33">
        <f>'Обобщенный расчет'!$G$40</f>
        <v>0</v>
      </c>
      <c r="K47" s="33">
        <f>'Обобщенный расчет'!$G$40</f>
        <v>0</v>
      </c>
      <c r="L47" s="33">
        <f>'Обобщенный расчет'!$G$40</f>
        <v>0</v>
      </c>
      <c r="M47" s="33">
        <f>'Обобщенный расчет'!$G$40</f>
        <v>0</v>
      </c>
      <c r="N47" s="33">
        <f>'Обобщенный расчет'!$G$40</f>
        <v>0</v>
      </c>
      <c r="O47" s="107">
        <f>SUM(C47:N47)</f>
        <v>0</v>
      </c>
      <c r="P47" s="107">
        <f>O47/12</f>
        <v>0</v>
      </c>
      <c r="Q47" s="33">
        <f>'Обобщенный расчет'!$G$40</f>
        <v>0</v>
      </c>
      <c r="R47" s="33">
        <f>'Обобщенный расчет'!$G$40</f>
        <v>0</v>
      </c>
      <c r="S47" s="33">
        <f>'Обобщенный расчет'!$G$40</f>
        <v>0</v>
      </c>
      <c r="T47" s="33">
        <f>'Обобщенный расчет'!$G$40</f>
        <v>0</v>
      </c>
      <c r="U47" s="33">
        <f>'Обобщенный расчет'!$G$40</f>
        <v>0</v>
      </c>
      <c r="V47" s="33">
        <f>'Обобщенный расчет'!$G$40</f>
        <v>0</v>
      </c>
      <c r="W47" s="33">
        <f>'Обобщенный расчет'!$G$40</f>
        <v>0</v>
      </c>
      <c r="X47" s="33">
        <f>'Обобщенный расчет'!$G$40</f>
        <v>0</v>
      </c>
      <c r="Y47" s="33">
        <f>'Обобщенный расчет'!$G$40</f>
        <v>0</v>
      </c>
      <c r="Z47" s="33">
        <f>'Обобщенный расчет'!$G$40</f>
        <v>0</v>
      </c>
      <c r="AA47" s="33">
        <f>'Обобщенный расчет'!$G$40</f>
        <v>0</v>
      </c>
      <c r="AB47" s="33">
        <f>'Обобщенный расчет'!$G$40</f>
        <v>0</v>
      </c>
      <c r="AC47" s="107">
        <f>SUM(Q47:AB47)</f>
        <v>0</v>
      </c>
      <c r="AD47" s="107">
        <f>AC47/12</f>
        <v>0</v>
      </c>
      <c r="AE47" s="33">
        <f>'Обобщенный расчет'!$G$40</f>
        <v>0</v>
      </c>
      <c r="AF47" s="33">
        <f>'Обобщенный расчет'!$G$40</f>
        <v>0</v>
      </c>
      <c r="AG47" s="33">
        <f>'Обобщенный расчет'!$G$40</f>
        <v>0</v>
      </c>
      <c r="AH47" s="33">
        <f>'Обобщенный расчет'!$G$40</f>
        <v>0</v>
      </c>
      <c r="AI47" s="33">
        <f>'Обобщенный расчет'!$G$40</f>
        <v>0</v>
      </c>
      <c r="AJ47" s="33">
        <f>'Обобщенный расчет'!$G$40</f>
        <v>0</v>
      </c>
      <c r="AK47" s="33">
        <f>'Обобщенный расчет'!$G$40</f>
        <v>0</v>
      </c>
      <c r="AL47" s="33">
        <f>'Обобщенный расчет'!$G$40</f>
        <v>0</v>
      </c>
      <c r="AM47" s="33">
        <f>'Обобщенный расчет'!$G$40</f>
        <v>0</v>
      </c>
      <c r="AN47" s="33">
        <f>'Обобщенный расчет'!$G$40</f>
        <v>0</v>
      </c>
      <c r="AO47" s="33">
        <f>'Обобщенный расчет'!$G$40</f>
        <v>0</v>
      </c>
      <c r="AP47" s="33">
        <f>'Обобщенный расчет'!$G$40</f>
        <v>0</v>
      </c>
      <c r="AQ47" s="107">
        <f>SUM(AE47:AP47)</f>
        <v>0</v>
      </c>
      <c r="AR47" s="107">
        <f>AQ47/12</f>
        <v>0</v>
      </c>
      <c r="AS47" s="114">
        <f>O47+AC47+AQ47</f>
        <v>0</v>
      </c>
      <c r="AT47" s="34"/>
    </row>
    <row r="48" spans="1:47" s="38" customFormat="1" ht="10.5" x14ac:dyDescent="0.35">
      <c r="A48" s="61" t="str">
        <f>'Обобщенный расчет'!B41</f>
        <v>Роялти</v>
      </c>
      <c r="B48" s="24" t="str">
        <f>CHOOSE('Исходные данные'!$O$2,'Исходные данные'!$P$2,'Исходные данные'!$P$3,'Исходные данные'!$P$4,'Исходные данные'!$P$5)</f>
        <v>UAH</v>
      </c>
      <c r="C48" s="36">
        <f>C24*'Обобщенный расчет'!$D$41</f>
        <v>17614.8</v>
      </c>
      <c r="D48" s="36">
        <f>D24*'Обобщенный расчет'!$D$41</f>
        <v>17777.900000000001</v>
      </c>
      <c r="E48" s="36">
        <f>E24*'Обобщенный расчет'!$D$41</f>
        <v>21366.100000000002</v>
      </c>
      <c r="F48" s="36">
        <f>F24*'Обобщенный расчет'!$D$41</f>
        <v>18430.3</v>
      </c>
      <c r="G48" s="36">
        <f>G24*'Обобщенный расчет'!$D$41</f>
        <v>17941</v>
      </c>
      <c r="H48" s="36">
        <f>H24*'Обобщенный расчет'!$D$41</f>
        <v>15005.2</v>
      </c>
      <c r="I48" s="36">
        <f>I24*'Обобщенный расчет'!$D$41</f>
        <v>15168.300000000001</v>
      </c>
      <c r="J48" s="36">
        <f>J24*'Обобщенный расчет'!$D$41</f>
        <v>13863.5</v>
      </c>
      <c r="K48" s="36">
        <f>K24*'Обобщенный расчет'!$D$41</f>
        <v>16636.2</v>
      </c>
      <c r="L48" s="36">
        <f>L24*'Обобщенный расчет'!$D$41</f>
        <v>14189.7</v>
      </c>
      <c r="M48" s="36">
        <f>M24*'Обобщенный расчет'!$D$41</f>
        <v>14679</v>
      </c>
      <c r="N48" s="36">
        <f>N24*'Обобщенный расчет'!$D$41</f>
        <v>13048</v>
      </c>
      <c r="O48" s="52">
        <f t="shared" si="54"/>
        <v>195720.00000000003</v>
      </c>
      <c r="P48" s="52">
        <f t="shared" si="55"/>
        <v>16310.000000000002</v>
      </c>
      <c r="Q48" s="36">
        <f>Q24*'Обобщенный расчет'!$D$41</f>
        <v>21137.760000000006</v>
      </c>
      <c r="R48" s="36">
        <f>R24*'Обобщенный расчет'!$D$41</f>
        <v>21333.480000000003</v>
      </c>
      <c r="S48" s="36">
        <f>S24*'Обобщенный расчет'!$D$41</f>
        <v>25639.32</v>
      </c>
      <c r="T48" s="36">
        <f>T24*'Обобщенный расчет'!$D$41</f>
        <v>22116.36</v>
      </c>
      <c r="U48" s="36">
        <f>U24*'Обобщенный расчет'!$D$41</f>
        <v>21529.200000000001</v>
      </c>
      <c r="V48" s="36">
        <f>V24*'Обобщенный расчет'!$D$41</f>
        <v>18006.240000000002</v>
      </c>
      <c r="W48" s="36">
        <f>W24*'Обобщенный расчет'!$D$41</f>
        <v>18201.960000000003</v>
      </c>
      <c r="X48" s="36">
        <f>X24*'Обобщенный расчет'!$D$41</f>
        <v>16636.2</v>
      </c>
      <c r="Y48" s="36">
        <f>Y24*'Обобщенный расчет'!$D$41</f>
        <v>19963.440000000002</v>
      </c>
      <c r="Z48" s="36">
        <f>Z24*'Обобщенный расчет'!$D$41</f>
        <v>17027.64</v>
      </c>
      <c r="AA48" s="36">
        <f>AA24*'Обобщенный расчет'!$D$41</f>
        <v>17614.8</v>
      </c>
      <c r="AB48" s="36">
        <f>AB24*'Обобщенный расчет'!$D$41</f>
        <v>15657.6</v>
      </c>
      <c r="AC48" s="52">
        <f t="shared" si="56"/>
        <v>234864.00000000003</v>
      </c>
      <c r="AD48" s="52">
        <f t="shared" si="57"/>
        <v>19572.000000000004</v>
      </c>
      <c r="AE48" s="36">
        <f>AE24*'Обобщенный расчет'!$D$41</f>
        <v>24660.720000000001</v>
      </c>
      <c r="AF48" s="36">
        <f>AF24*'Обобщенный расчет'!$D$41</f>
        <v>24889.060000000005</v>
      </c>
      <c r="AG48" s="36">
        <f>AG24*'Обобщенный расчет'!$D$41</f>
        <v>29912.539999999997</v>
      </c>
      <c r="AH48" s="36">
        <f>AH24*'Обобщенный расчет'!$D$41</f>
        <v>25802.42</v>
      </c>
      <c r="AI48" s="36">
        <f>AI24*'Обобщенный расчет'!$D$41</f>
        <v>25117.4</v>
      </c>
      <c r="AJ48" s="36">
        <f>AJ24*'Обобщенный расчет'!$D$41</f>
        <v>21007.280000000002</v>
      </c>
      <c r="AK48" s="36">
        <f>AK24*'Обобщенный расчет'!$D$41</f>
        <v>21235.62</v>
      </c>
      <c r="AL48" s="36">
        <f>AL24*'Обобщенный расчет'!$D$41</f>
        <v>19408.900000000001</v>
      </c>
      <c r="AM48" s="36">
        <f>AM24*'Обобщенный расчет'!$D$41</f>
        <v>23290.680000000004</v>
      </c>
      <c r="AN48" s="36">
        <f>AN24*'Обобщенный расчет'!$D$41</f>
        <v>19865.580000000002</v>
      </c>
      <c r="AO48" s="36">
        <f>AO24*'Обобщенный расчет'!$D$41</f>
        <v>20550.600000000002</v>
      </c>
      <c r="AP48" s="36">
        <f>AP24*'Обобщенный расчет'!$D$41</f>
        <v>18267.2</v>
      </c>
      <c r="AQ48" s="52">
        <f t="shared" si="58"/>
        <v>274008</v>
      </c>
      <c r="AR48" s="52">
        <f t="shared" si="59"/>
        <v>22834</v>
      </c>
      <c r="AS48" s="114">
        <f t="shared" si="60"/>
        <v>704592</v>
      </c>
      <c r="AT48" s="37"/>
    </row>
    <row r="49" spans="1:46" s="35" customFormat="1" ht="10.5" x14ac:dyDescent="0.35">
      <c r="A49" s="60" t="str">
        <f>'Обобщенный расчет'!B42</f>
        <v>Маркетинговые отчисления</v>
      </c>
      <c r="B49" s="21" t="str">
        <f>CHOOSE('Исходные данные'!$O$2,'Исходные данные'!$P$2,'Исходные данные'!$P$3,'Исходные данные'!$P$4,'Исходные данные'!$P$5)</f>
        <v>UAH</v>
      </c>
      <c r="C49" s="33">
        <f>C24*'Обобщенный расчет'!$D$42</f>
        <v>0</v>
      </c>
      <c r="D49" s="33">
        <f>D24*'Обобщенный расчет'!$D$42</f>
        <v>0</v>
      </c>
      <c r="E49" s="33">
        <f>E24*'Обобщенный расчет'!$D$42</f>
        <v>0</v>
      </c>
      <c r="F49" s="33">
        <f>F24*'Обобщенный расчет'!$D$42</f>
        <v>0</v>
      </c>
      <c r="G49" s="33">
        <f>G24*'Обобщенный расчет'!$D$42</f>
        <v>0</v>
      </c>
      <c r="H49" s="33">
        <f>H24*'Обобщенный расчет'!$D$42</f>
        <v>0</v>
      </c>
      <c r="I49" s="33">
        <f>I24*'Обобщенный расчет'!$D$42</f>
        <v>0</v>
      </c>
      <c r="J49" s="33">
        <f>J24*'Обобщенный расчет'!$D$42</f>
        <v>0</v>
      </c>
      <c r="K49" s="33">
        <f>K24*'Обобщенный расчет'!$D$42</f>
        <v>0</v>
      </c>
      <c r="L49" s="33">
        <f>L24*'Обобщенный расчет'!$D$42</f>
        <v>0</v>
      </c>
      <c r="M49" s="33">
        <f>M24*'Обобщенный расчет'!$D$42</f>
        <v>0</v>
      </c>
      <c r="N49" s="33">
        <f>N24*'Обобщенный расчет'!$D$42</f>
        <v>0</v>
      </c>
      <c r="O49" s="107">
        <f>SUM(C49:N49)</f>
        <v>0</v>
      </c>
      <c r="P49" s="107">
        <f>O49/12</f>
        <v>0</v>
      </c>
      <c r="Q49" s="33">
        <f>Q24*'Обобщенный расчет'!$D$42</f>
        <v>0</v>
      </c>
      <c r="R49" s="33">
        <f>R24*'Обобщенный расчет'!$D$42</f>
        <v>0</v>
      </c>
      <c r="S49" s="33">
        <f>S24*'Обобщенный расчет'!$D$42</f>
        <v>0</v>
      </c>
      <c r="T49" s="33">
        <f>T24*'Обобщенный расчет'!$D$42</f>
        <v>0</v>
      </c>
      <c r="U49" s="33">
        <f>U24*'Обобщенный расчет'!$D$42</f>
        <v>0</v>
      </c>
      <c r="V49" s="33">
        <f>V24*'Обобщенный расчет'!$D$42</f>
        <v>0</v>
      </c>
      <c r="W49" s="33">
        <f>W24*'Обобщенный расчет'!$D$42</f>
        <v>0</v>
      </c>
      <c r="X49" s="33">
        <f>X24*'Обобщенный расчет'!$D$42</f>
        <v>0</v>
      </c>
      <c r="Y49" s="33">
        <f>Y24*'Обобщенный расчет'!$D$42</f>
        <v>0</v>
      </c>
      <c r="Z49" s="33">
        <f>Z24*'Обобщенный расчет'!$D$42</f>
        <v>0</v>
      </c>
      <c r="AA49" s="33">
        <f>AA24*'Обобщенный расчет'!$D$42</f>
        <v>0</v>
      </c>
      <c r="AB49" s="33">
        <f>AB24*'Обобщенный расчет'!$D$42</f>
        <v>0</v>
      </c>
      <c r="AC49" s="107">
        <f>SUM(Q49:AB49)</f>
        <v>0</v>
      </c>
      <c r="AD49" s="107">
        <f>AC49/12</f>
        <v>0</v>
      </c>
      <c r="AE49" s="33">
        <f>AE24*'Обобщенный расчет'!$D$42</f>
        <v>0</v>
      </c>
      <c r="AF49" s="33">
        <f>AF24*'Обобщенный расчет'!$D$42</f>
        <v>0</v>
      </c>
      <c r="AG49" s="33">
        <f>AG24*'Обобщенный расчет'!$D$42</f>
        <v>0</v>
      </c>
      <c r="AH49" s="33">
        <f>AH24*'Обобщенный расчет'!$D$42</f>
        <v>0</v>
      </c>
      <c r="AI49" s="33">
        <f>AI24*'Обобщенный расчет'!$D$42</f>
        <v>0</v>
      </c>
      <c r="AJ49" s="33">
        <f>AJ24*'Обобщенный расчет'!$D$42</f>
        <v>0</v>
      </c>
      <c r="AK49" s="33">
        <f>AK24*'Обобщенный расчет'!$D$42</f>
        <v>0</v>
      </c>
      <c r="AL49" s="33">
        <f>AL24*'Обобщенный расчет'!$D$42</f>
        <v>0</v>
      </c>
      <c r="AM49" s="33">
        <f>AM24*'Обобщенный расчет'!$D$42</f>
        <v>0</v>
      </c>
      <c r="AN49" s="33">
        <f>AN24*'Обобщенный расчет'!$D$42</f>
        <v>0</v>
      </c>
      <c r="AO49" s="33">
        <f>AO24*'Обобщенный расчет'!$D$42</f>
        <v>0</v>
      </c>
      <c r="AP49" s="33">
        <f>AP24*'Обобщенный расчет'!$D$42</f>
        <v>0</v>
      </c>
      <c r="AQ49" s="107">
        <f>SUM(AE49:AP49)</f>
        <v>0</v>
      </c>
      <c r="AR49" s="107">
        <f>AQ49/12</f>
        <v>0</v>
      </c>
      <c r="AS49" s="114">
        <f>O49+AC49+AQ49</f>
        <v>0</v>
      </c>
      <c r="AT49" s="34"/>
    </row>
    <row r="50" spans="1:46" s="38" customFormat="1" ht="10.5" x14ac:dyDescent="0.35">
      <c r="A50" s="61" t="str">
        <f>'Обобщенный расчет'!B43</f>
        <v>Аренда</v>
      </c>
      <c r="B50" s="24" t="str">
        <f>CHOOSE('Исходные данные'!$O$2,'Исходные данные'!$P$2,'Исходные данные'!$P$3,'Исходные данные'!$P$4,'Исходные данные'!$P$5)</f>
        <v>UAH</v>
      </c>
      <c r="C50" s="36">
        <f>'Обобщенный расчет'!$G$43*C10</f>
        <v>40000</v>
      </c>
      <c r="D50" s="36">
        <f>'Обобщенный расчет'!$G$43*D10</f>
        <v>40000</v>
      </c>
      <c r="E50" s="36">
        <f>'Обобщенный расчет'!$G$43*E10</f>
        <v>40000</v>
      </c>
      <c r="F50" s="36">
        <f>'Обобщенный расчет'!$G$43*F10</f>
        <v>40000</v>
      </c>
      <c r="G50" s="36">
        <f>'Обобщенный расчет'!$G$43*G10</f>
        <v>40000</v>
      </c>
      <c r="H50" s="36">
        <f>'Обобщенный расчет'!$G$43*H10</f>
        <v>40000</v>
      </c>
      <c r="I50" s="36">
        <f>'Обобщенный расчет'!$G$43*I10</f>
        <v>40000</v>
      </c>
      <c r="J50" s="36">
        <f>'Обобщенный расчет'!$G$43*J10</f>
        <v>40000</v>
      </c>
      <c r="K50" s="36">
        <f>'Обобщенный расчет'!$G$43*K10</f>
        <v>40000</v>
      </c>
      <c r="L50" s="36">
        <f>'Обобщенный расчет'!$G$43*L10</f>
        <v>40000</v>
      </c>
      <c r="M50" s="36">
        <f>'Обобщенный расчет'!$G$43*M10</f>
        <v>40000</v>
      </c>
      <c r="N50" s="36">
        <f>'Обобщенный расчет'!$G$43*N10</f>
        <v>40000</v>
      </c>
      <c r="O50" s="52">
        <f t="shared" si="54"/>
        <v>480000</v>
      </c>
      <c r="P50" s="52">
        <f t="shared" si="55"/>
        <v>40000</v>
      </c>
      <c r="Q50" s="36">
        <f>'Обобщенный расчет'!$G$43*Q10</f>
        <v>42000</v>
      </c>
      <c r="R50" s="36">
        <f>'Обобщенный расчет'!$G$43*R10</f>
        <v>42000</v>
      </c>
      <c r="S50" s="36">
        <f>'Обобщенный расчет'!$G$43*S10</f>
        <v>42000</v>
      </c>
      <c r="T50" s="36">
        <f>'Обобщенный расчет'!$G$43*T10</f>
        <v>42000</v>
      </c>
      <c r="U50" s="36">
        <f>'Обобщенный расчет'!$G$43*U10</f>
        <v>42000</v>
      </c>
      <c r="V50" s="36">
        <f>'Обобщенный расчет'!$G$43*V10</f>
        <v>42000</v>
      </c>
      <c r="W50" s="36">
        <f>'Обобщенный расчет'!$G$43*W10</f>
        <v>42000</v>
      </c>
      <c r="X50" s="36">
        <f>'Обобщенный расчет'!$G$43*X10</f>
        <v>42000</v>
      </c>
      <c r="Y50" s="36">
        <f>'Обобщенный расчет'!$G$43*Y10</f>
        <v>42000</v>
      </c>
      <c r="Z50" s="36">
        <f>'Обобщенный расчет'!$G$43*Z10</f>
        <v>42000</v>
      </c>
      <c r="AA50" s="36">
        <f>'Обобщенный расчет'!$G$43*AA10</f>
        <v>42000</v>
      </c>
      <c r="AB50" s="36">
        <f>'Обобщенный расчет'!$G$43*AB10</f>
        <v>42000</v>
      </c>
      <c r="AC50" s="52">
        <f t="shared" si="56"/>
        <v>504000</v>
      </c>
      <c r="AD50" s="52">
        <f t="shared" si="57"/>
        <v>42000</v>
      </c>
      <c r="AE50" s="36">
        <f>'Обобщенный расчет'!$G$43*AE10</f>
        <v>44000</v>
      </c>
      <c r="AF50" s="36">
        <f>'Обобщенный расчет'!$G$43*AF10</f>
        <v>44000</v>
      </c>
      <c r="AG50" s="36">
        <f>'Обобщенный расчет'!$G$43*AG10</f>
        <v>44000</v>
      </c>
      <c r="AH50" s="36">
        <f>'Обобщенный расчет'!$G$43*AH10</f>
        <v>44000</v>
      </c>
      <c r="AI50" s="36">
        <f>'Обобщенный расчет'!$G$43*AI10</f>
        <v>44000</v>
      </c>
      <c r="AJ50" s="36">
        <f>'Обобщенный расчет'!$G$43*AJ10</f>
        <v>44000</v>
      </c>
      <c r="AK50" s="36">
        <f>'Обобщенный расчет'!$G$43*AK10</f>
        <v>44000</v>
      </c>
      <c r="AL50" s="36">
        <f>'Обобщенный расчет'!$G$43*AL10</f>
        <v>44000</v>
      </c>
      <c r="AM50" s="36">
        <f>'Обобщенный расчет'!$G$43*AM10</f>
        <v>44000</v>
      </c>
      <c r="AN50" s="36">
        <f>'Обобщенный расчет'!$G$43*AN10</f>
        <v>44000</v>
      </c>
      <c r="AO50" s="36">
        <f>'Обобщенный расчет'!$G$43*AO10</f>
        <v>44000</v>
      </c>
      <c r="AP50" s="36">
        <f>'Обобщенный расчет'!$G$43*AP10</f>
        <v>44000</v>
      </c>
      <c r="AQ50" s="52">
        <f t="shared" si="58"/>
        <v>528000</v>
      </c>
      <c r="AR50" s="52">
        <f t="shared" si="59"/>
        <v>44000</v>
      </c>
      <c r="AS50" s="114">
        <f t="shared" si="60"/>
        <v>1512000</v>
      </c>
      <c r="AT50" s="37"/>
    </row>
    <row r="51" spans="1:46" s="35" customFormat="1" ht="10.5" x14ac:dyDescent="0.35">
      <c r="A51" s="60" t="str">
        <f>'Обобщенный расчет'!B44</f>
        <v>Коммунальные платежи</v>
      </c>
      <c r="B51" s="21" t="str">
        <f>CHOOSE('Исходные данные'!$O$2,'Исходные данные'!$P$2,'Исходные данные'!$P$3,'Исходные данные'!$P$4,'Исходные данные'!$P$5)</f>
        <v>UAH</v>
      </c>
      <c r="C51" s="33">
        <f>'Обобщенный расчет'!$G$44*C11</f>
        <v>3000</v>
      </c>
      <c r="D51" s="33">
        <f>'Обобщенный расчет'!$G$44*D11</f>
        <v>3000</v>
      </c>
      <c r="E51" s="33">
        <f>'Обобщенный расчет'!$G$44*E11</f>
        <v>3000</v>
      </c>
      <c r="F51" s="33">
        <f>'Обобщенный расчет'!$G$44*F11</f>
        <v>3000</v>
      </c>
      <c r="G51" s="33">
        <f>'Обобщенный расчет'!$G$44*G11</f>
        <v>3000</v>
      </c>
      <c r="H51" s="33">
        <f>'Обобщенный расчет'!$G$44*H11</f>
        <v>3000</v>
      </c>
      <c r="I51" s="33">
        <f>'Обобщенный расчет'!$G$44*I11</f>
        <v>3000</v>
      </c>
      <c r="J51" s="33">
        <f>'Обобщенный расчет'!$G$44*J11</f>
        <v>3000</v>
      </c>
      <c r="K51" s="33">
        <f>'Обобщенный расчет'!$G$44*K11</f>
        <v>3000</v>
      </c>
      <c r="L51" s="33">
        <f>'Обобщенный расчет'!$G$44*L11</f>
        <v>3000</v>
      </c>
      <c r="M51" s="33">
        <f>'Обобщенный расчет'!$G$44*M11</f>
        <v>3000</v>
      </c>
      <c r="N51" s="33">
        <f>'Обобщенный расчет'!$G$44*N11</f>
        <v>3000</v>
      </c>
      <c r="O51" s="107">
        <f t="shared" si="54"/>
        <v>36000</v>
      </c>
      <c r="P51" s="107">
        <f t="shared" si="55"/>
        <v>3000</v>
      </c>
      <c r="Q51" s="33">
        <f>'Обобщенный расчет'!$G$44*Q11</f>
        <v>3000</v>
      </c>
      <c r="R51" s="33">
        <f>'Обобщенный расчет'!$G$44*R11</f>
        <v>3000</v>
      </c>
      <c r="S51" s="33">
        <f>'Обобщенный расчет'!$G$44*S11</f>
        <v>3000</v>
      </c>
      <c r="T51" s="33">
        <f>'Обобщенный расчет'!$G$44*T11</f>
        <v>3000</v>
      </c>
      <c r="U51" s="33">
        <f>'Обобщенный расчет'!$G$44*U11</f>
        <v>3000</v>
      </c>
      <c r="V51" s="33">
        <f>'Обобщенный расчет'!$G$44*V11</f>
        <v>3000</v>
      </c>
      <c r="W51" s="33">
        <f>'Обобщенный расчет'!$G$44*W11</f>
        <v>3000</v>
      </c>
      <c r="X51" s="33">
        <f>'Обобщенный расчет'!$G$44*X11</f>
        <v>3000</v>
      </c>
      <c r="Y51" s="33">
        <f>'Обобщенный расчет'!$G$44*Y11</f>
        <v>3000</v>
      </c>
      <c r="Z51" s="33">
        <f>'Обобщенный расчет'!$G$44*Z11</f>
        <v>3000</v>
      </c>
      <c r="AA51" s="33">
        <f>'Обобщенный расчет'!$G$44*AA11</f>
        <v>3000</v>
      </c>
      <c r="AB51" s="33">
        <f>'Обобщенный расчет'!$G$44*AB11</f>
        <v>3000</v>
      </c>
      <c r="AC51" s="107">
        <f t="shared" si="56"/>
        <v>36000</v>
      </c>
      <c r="AD51" s="107">
        <f t="shared" si="57"/>
        <v>3000</v>
      </c>
      <c r="AE51" s="33">
        <f>'Обобщенный расчет'!$G$44*AE11</f>
        <v>3000</v>
      </c>
      <c r="AF51" s="33">
        <f>'Обобщенный расчет'!$G$44*AF11</f>
        <v>3000</v>
      </c>
      <c r="AG51" s="33">
        <f>'Обобщенный расчет'!$G$44*AG11</f>
        <v>3000</v>
      </c>
      <c r="AH51" s="33">
        <f>'Обобщенный расчет'!$G$44*AH11</f>
        <v>3000</v>
      </c>
      <c r="AI51" s="33">
        <f>'Обобщенный расчет'!$G$44*AI11</f>
        <v>3000</v>
      </c>
      <c r="AJ51" s="33">
        <f>'Обобщенный расчет'!$G$44*AJ11</f>
        <v>3000</v>
      </c>
      <c r="AK51" s="33">
        <f>'Обобщенный расчет'!$G$44*AK11</f>
        <v>3000</v>
      </c>
      <c r="AL51" s="33">
        <f>'Обобщенный расчет'!$G$44*AL11</f>
        <v>3000</v>
      </c>
      <c r="AM51" s="33">
        <f>'Обобщенный расчет'!$G$44*AM11</f>
        <v>3000</v>
      </c>
      <c r="AN51" s="33">
        <f>'Обобщенный расчет'!$G$44*AN11</f>
        <v>3000</v>
      </c>
      <c r="AO51" s="33">
        <f>'Обобщенный расчет'!$G$44*AO11</f>
        <v>3000</v>
      </c>
      <c r="AP51" s="33">
        <f>'Обобщенный расчет'!$G$44*AP11</f>
        <v>3000</v>
      </c>
      <c r="AQ51" s="107">
        <f t="shared" si="58"/>
        <v>36000</v>
      </c>
      <c r="AR51" s="107">
        <f t="shared" si="59"/>
        <v>3000</v>
      </c>
      <c r="AS51" s="114">
        <f t="shared" si="60"/>
        <v>108000</v>
      </c>
      <c r="AT51" s="34"/>
    </row>
    <row r="52" spans="1:46" s="38" customFormat="1" ht="10.5" x14ac:dyDescent="0.35">
      <c r="A52" s="61" t="str">
        <f>'Обобщенный расчет'!B45</f>
        <v>Хозяйственные нужды</v>
      </c>
      <c r="B52" s="24" t="str">
        <f>CHOOSE('Исходные данные'!$O$2,'Исходные данные'!$P$2,'Исходные данные'!$P$3,'Исходные данные'!$P$4,'Исходные данные'!$P$5)</f>
        <v>UAH</v>
      </c>
      <c r="C52" s="36">
        <f>'Обобщенный расчет'!$G$45</f>
        <v>0</v>
      </c>
      <c r="D52" s="36">
        <f>'Обобщенный расчет'!$G$45</f>
        <v>0</v>
      </c>
      <c r="E52" s="36">
        <f>'Обобщенный расчет'!$G$45</f>
        <v>0</v>
      </c>
      <c r="F52" s="36">
        <f>'Обобщенный расчет'!$G$45</f>
        <v>0</v>
      </c>
      <c r="G52" s="36">
        <f>'Обобщенный расчет'!$G$45</f>
        <v>0</v>
      </c>
      <c r="H52" s="36">
        <f>'Обобщенный расчет'!$G$45</f>
        <v>0</v>
      </c>
      <c r="I52" s="36">
        <f>'Обобщенный расчет'!$G$45</f>
        <v>0</v>
      </c>
      <c r="J52" s="36">
        <f>'Обобщенный расчет'!$G$45</f>
        <v>0</v>
      </c>
      <c r="K52" s="36">
        <f>'Обобщенный расчет'!$G$45</f>
        <v>0</v>
      </c>
      <c r="L52" s="36">
        <f>'Обобщенный расчет'!$G$45</f>
        <v>0</v>
      </c>
      <c r="M52" s="36">
        <f>'Обобщенный расчет'!$G$45</f>
        <v>0</v>
      </c>
      <c r="N52" s="36">
        <f>'Обобщенный расчет'!$G$45</f>
        <v>0</v>
      </c>
      <c r="O52" s="52">
        <f t="shared" si="54"/>
        <v>0</v>
      </c>
      <c r="P52" s="52">
        <f t="shared" si="55"/>
        <v>0</v>
      </c>
      <c r="Q52" s="36">
        <f>'Обобщенный расчет'!$G$45</f>
        <v>0</v>
      </c>
      <c r="R52" s="36">
        <f>'Обобщенный расчет'!$G$45</f>
        <v>0</v>
      </c>
      <c r="S52" s="36">
        <f>'Обобщенный расчет'!$G$45</f>
        <v>0</v>
      </c>
      <c r="T52" s="36">
        <f>'Обобщенный расчет'!$G$45</f>
        <v>0</v>
      </c>
      <c r="U52" s="36">
        <f>'Обобщенный расчет'!$G$45</f>
        <v>0</v>
      </c>
      <c r="V52" s="36">
        <f>'Обобщенный расчет'!$G$45</f>
        <v>0</v>
      </c>
      <c r="W52" s="36">
        <f>'Обобщенный расчет'!$G$45</f>
        <v>0</v>
      </c>
      <c r="X52" s="36">
        <f>'Обобщенный расчет'!$G$45</f>
        <v>0</v>
      </c>
      <c r="Y52" s="36">
        <f>'Обобщенный расчет'!$G$45</f>
        <v>0</v>
      </c>
      <c r="Z52" s="36">
        <f>'Обобщенный расчет'!$G$45</f>
        <v>0</v>
      </c>
      <c r="AA52" s="36">
        <f>'Обобщенный расчет'!$G$45</f>
        <v>0</v>
      </c>
      <c r="AB52" s="36">
        <f>'Обобщенный расчет'!$G$45</f>
        <v>0</v>
      </c>
      <c r="AC52" s="52">
        <f t="shared" si="56"/>
        <v>0</v>
      </c>
      <c r="AD52" s="52">
        <f t="shared" si="57"/>
        <v>0</v>
      </c>
      <c r="AE52" s="36">
        <f>'Обобщенный расчет'!$G$45</f>
        <v>0</v>
      </c>
      <c r="AF52" s="36">
        <f>'Обобщенный расчет'!$G$45</f>
        <v>0</v>
      </c>
      <c r="AG52" s="36">
        <f>'Обобщенный расчет'!$G$45</f>
        <v>0</v>
      </c>
      <c r="AH52" s="36">
        <f>'Обобщенный расчет'!$G$45</f>
        <v>0</v>
      </c>
      <c r="AI52" s="36">
        <f>'Обобщенный расчет'!$G$45</f>
        <v>0</v>
      </c>
      <c r="AJ52" s="36">
        <f>'Обобщенный расчет'!$G$45</f>
        <v>0</v>
      </c>
      <c r="AK52" s="36">
        <f>'Обобщенный расчет'!$G$45</f>
        <v>0</v>
      </c>
      <c r="AL52" s="36">
        <f>'Обобщенный расчет'!$G$45</f>
        <v>0</v>
      </c>
      <c r="AM52" s="36">
        <f>'Обобщенный расчет'!$G$45</f>
        <v>0</v>
      </c>
      <c r="AN52" s="36">
        <f>'Обобщенный расчет'!$G$45</f>
        <v>0</v>
      </c>
      <c r="AO52" s="36">
        <f>'Обобщенный расчет'!$G$45</f>
        <v>0</v>
      </c>
      <c r="AP52" s="36">
        <f>'Обобщенный расчет'!$G$45</f>
        <v>0</v>
      </c>
      <c r="AQ52" s="52">
        <f t="shared" si="58"/>
        <v>0</v>
      </c>
      <c r="AR52" s="52">
        <f t="shared" si="59"/>
        <v>0</v>
      </c>
      <c r="AS52" s="114">
        <f t="shared" si="60"/>
        <v>0</v>
      </c>
      <c r="AT52" s="37"/>
    </row>
    <row r="53" spans="1:46" s="35" customFormat="1" ht="10.5" x14ac:dyDescent="0.35">
      <c r="A53" s="60" t="str">
        <f>'Обобщенный расчет'!B46</f>
        <v>Униформа персонала</v>
      </c>
      <c r="B53" s="21" t="str">
        <f>CHOOSE('Исходные данные'!$O$2,'Исходные данные'!$P$2,'Исходные данные'!$P$3,'Исходные данные'!$P$4,'Исходные данные'!$P$5)</f>
        <v>UAH</v>
      </c>
      <c r="C53" s="33">
        <f>CHOOSE('Обобщенный расчет'!$N$1,'Исходные данные'!$E$115,'Исходные данные'!$G$115,'Исходные данные'!$J$115)</f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f>CHOOSE('Обобщенный расчет'!$N$1,'Исходные данные'!$E$115,'Исходные данные'!$G$115,'Исходные данные'!$J$115)</f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107">
        <f t="shared" ref="O53" si="61">SUM(C53:N53)</f>
        <v>0</v>
      </c>
      <c r="P53" s="107">
        <f t="shared" ref="P53" si="62">O53/12</f>
        <v>0</v>
      </c>
      <c r="Q53" s="33">
        <f>CHOOSE('Обобщенный расчет'!$N$1,'Исходные данные'!$E$115,'Исходные данные'!$G$115,'Исходные данные'!$J$115)</f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f>CHOOSE('Обобщенный расчет'!$N$1,'Исходные данные'!$E$115,'Исходные данные'!$G$115,'Исходные данные'!$J$115)</f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107">
        <f t="shared" ref="AC53" si="63">SUM(Q53:AB53)</f>
        <v>0</v>
      </c>
      <c r="AD53" s="107">
        <f t="shared" ref="AD53" si="64">AC53/12</f>
        <v>0</v>
      </c>
      <c r="AE53" s="33">
        <f>CHOOSE('Обобщенный расчет'!$N$1,'Исходные данные'!$E$115,'Исходные данные'!$G$115,'Исходные данные'!$J$115)</f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f>CHOOSE('Обобщенный расчет'!$N$1,'Исходные данные'!$E$115,'Исходные данные'!$G$115,'Исходные данные'!$J$115)</f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107">
        <f t="shared" ref="AQ53" si="65">SUM(AE53:AP53)</f>
        <v>0</v>
      </c>
      <c r="AR53" s="107">
        <f t="shared" ref="AR53" si="66">AQ53/12</f>
        <v>0</v>
      </c>
      <c r="AS53" s="114">
        <f t="shared" ref="AS53" si="67">O53+AC53+AQ53</f>
        <v>0</v>
      </c>
      <c r="AT53" s="34"/>
    </row>
    <row r="54" spans="1:46" s="38" customFormat="1" ht="10.5" x14ac:dyDescent="0.35">
      <c r="A54" s="61" t="str">
        <f>'Обобщенный расчет'!B47</f>
        <v>Сервисное обслуживание техники и оборудования</v>
      </c>
      <c r="B54" s="24" t="str">
        <f>CHOOSE('Исходные данные'!$O$2,'Исходные данные'!$P$2,'Исходные данные'!$P$3,'Исходные данные'!$P$4,'Исходные данные'!$P$5)</f>
        <v>UAH</v>
      </c>
      <c r="C54" s="36">
        <f>'Обобщенный расчет'!$G$47</f>
        <v>7000</v>
      </c>
      <c r="D54" s="36">
        <f>'Обобщенный расчет'!$G$47</f>
        <v>7000</v>
      </c>
      <c r="E54" s="36">
        <f>'Обобщенный расчет'!$G$47</f>
        <v>7000</v>
      </c>
      <c r="F54" s="36">
        <f>'Обобщенный расчет'!$G$47</f>
        <v>7000</v>
      </c>
      <c r="G54" s="36">
        <f>'Обобщенный расчет'!$G$47</f>
        <v>7000</v>
      </c>
      <c r="H54" s="36">
        <f>'Обобщенный расчет'!$G$47</f>
        <v>7000</v>
      </c>
      <c r="I54" s="36">
        <f>'Обобщенный расчет'!$G$47</f>
        <v>7000</v>
      </c>
      <c r="J54" s="36">
        <f>'Обобщенный расчет'!$G$47</f>
        <v>7000</v>
      </c>
      <c r="K54" s="36">
        <f>'Обобщенный расчет'!$G$47</f>
        <v>7000</v>
      </c>
      <c r="L54" s="36">
        <f>'Обобщенный расчет'!$G$47</f>
        <v>7000</v>
      </c>
      <c r="M54" s="36">
        <f>'Обобщенный расчет'!$G$47</f>
        <v>7000</v>
      </c>
      <c r="N54" s="36">
        <f>'Обобщенный расчет'!$G$47</f>
        <v>7000</v>
      </c>
      <c r="O54" s="52">
        <f t="shared" ref="O54:O60" si="68">SUM(C54:N54)</f>
        <v>84000</v>
      </c>
      <c r="P54" s="52">
        <f t="shared" ref="P54:P60" si="69">O54/12</f>
        <v>7000</v>
      </c>
      <c r="Q54" s="36">
        <f>'Обобщенный расчет'!$G$47</f>
        <v>7000</v>
      </c>
      <c r="R54" s="36">
        <f>'Обобщенный расчет'!$G$47</f>
        <v>7000</v>
      </c>
      <c r="S54" s="36">
        <f>'Обобщенный расчет'!$G$47</f>
        <v>7000</v>
      </c>
      <c r="T54" s="36">
        <f>'Обобщенный расчет'!$G$47</f>
        <v>7000</v>
      </c>
      <c r="U54" s="36">
        <f>'Обобщенный расчет'!$G$47</f>
        <v>7000</v>
      </c>
      <c r="V54" s="36">
        <f>'Обобщенный расчет'!$G$47</f>
        <v>7000</v>
      </c>
      <c r="W54" s="36">
        <f>'Обобщенный расчет'!$G$47</f>
        <v>7000</v>
      </c>
      <c r="X54" s="36">
        <f>'Обобщенный расчет'!$G$47</f>
        <v>7000</v>
      </c>
      <c r="Y54" s="36">
        <f>'Обобщенный расчет'!$G$47</f>
        <v>7000</v>
      </c>
      <c r="Z54" s="36">
        <f>'Обобщенный расчет'!$G$47</f>
        <v>7000</v>
      </c>
      <c r="AA54" s="36">
        <f>'Обобщенный расчет'!$G$47</f>
        <v>7000</v>
      </c>
      <c r="AB54" s="36">
        <f>'Обобщенный расчет'!$G$47</f>
        <v>7000</v>
      </c>
      <c r="AC54" s="52">
        <f t="shared" ref="AC54:AC60" si="70">SUM(Q54:AB54)</f>
        <v>84000</v>
      </c>
      <c r="AD54" s="52">
        <f t="shared" ref="AD54:AD60" si="71">AC54/12</f>
        <v>7000</v>
      </c>
      <c r="AE54" s="36">
        <f>'Обобщенный расчет'!$G$47</f>
        <v>7000</v>
      </c>
      <c r="AF54" s="36">
        <f>'Обобщенный расчет'!$G$47</f>
        <v>7000</v>
      </c>
      <c r="AG54" s="36">
        <f>'Обобщенный расчет'!$G$47</f>
        <v>7000</v>
      </c>
      <c r="AH54" s="36">
        <f>'Обобщенный расчет'!$G$47</f>
        <v>7000</v>
      </c>
      <c r="AI54" s="36">
        <f>'Обобщенный расчет'!$G$47</f>
        <v>7000</v>
      </c>
      <c r="AJ54" s="36">
        <f>'Обобщенный расчет'!$G$47</f>
        <v>7000</v>
      </c>
      <c r="AK54" s="36">
        <f>'Обобщенный расчет'!$G$47</f>
        <v>7000</v>
      </c>
      <c r="AL54" s="36">
        <f>'Обобщенный расчет'!$G$47</f>
        <v>7000</v>
      </c>
      <c r="AM54" s="36">
        <f>'Обобщенный расчет'!$G$47</f>
        <v>7000</v>
      </c>
      <c r="AN54" s="36">
        <f>'Обобщенный расчет'!$G$47</f>
        <v>7000</v>
      </c>
      <c r="AO54" s="36">
        <f>'Обобщенный расчет'!$G$47</f>
        <v>7000</v>
      </c>
      <c r="AP54" s="36">
        <f>'Обобщенный расчет'!$G$47</f>
        <v>7000</v>
      </c>
      <c r="AQ54" s="52">
        <f t="shared" ref="AQ54:AQ60" si="72">SUM(AE54:AP54)</f>
        <v>84000</v>
      </c>
      <c r="AR54" s="52">
        <f t="shared" ref="AR54:AR60" si="73">AQ54/12</f>
        <v>7000</v>
      </c>
      <c r="AS54" s="114">
        <f t="shared" ref="AS54:AS60" si="74">O54+AC54+AQ54</f>
        <v>252000</v>
      </c>
      <c r="AT54" s="37"/>
    </row>
    <row r="55" spans="1:46" s="35" customFormat="1" ht="10.5" x14ac:dyDescent="0.35">
      <c r="A55" s="60" t="str">
        <f>'Обобщенный расчет'!B48</f>
        <v>Охрана</v>
      </c>
      <c r="B55" s="21" t="str">
        <f>CHOOSE('Исходные данные'!$O$2,'Исходные данные'!$P$2,'Исходные данные'!$P$3,'Исходные данные'!$P$4,'Исходные данные'!$P$5)</f>
        <v>UAH</v>
      </c>
      <c r="C55" s="33">
        <f>'Обобщенный расчет'!$G$48</f>
        <v>1000</v>
      </c>
      <c r="D55" s="33">
        <f>'Обобщенный расчет'!$G$48</f>
        <v>1000</v>
      </c>
      <c r="E55" s="33">
        <f>'Обобщенный расчет'!$G$48</f>
        <v>1000</v>
      </c>
      <c r="F55" s="33">
        <f>'Обобщенный расчет'!$G$48</f>
        <v>1000</v>
      </c>
      <c r="G55" s="33">
        <f>'Обобщенный расчет'!$G$48</f>
        <v>1000</v>
      </c>
      <c r="H55" s="33">
        <f>'Обобщенный расчет'!$G$48</f>
        <v>1000</v>
      </c>
      <c r="I55" s="33">
        <f>'Обобщенный расчет'!$G$48</f>
        <v>1000</v>
      </c>
      <c r="J55" s="33">
        <f>'Обобщенный расчет'!$G$48</f>
        <v>1000</v>
      </c>
      <c r="K55" s="33">
        <f>'Обобщенный расчет'!$G$48</f>
        <v>1000</v>
      </c>
      <c r="L55" s="33">
        <f>'Обобщенный расчет'!$G$48</f>
        <v>1000</v>
      </c>
      <c r="M55" s="33">
        <f>'Обобщенный расчет'!$G$48</f>
        <v>1000</v>
      </c>
      <c r="N55" s="33">
        <f>'Обобщенный расчет'!$G$48</f>
        <v>1000</v>
      </c>
      <c r="O55" s="107">
        <f>SUM(C55:N55)</f>
        <v>12000</v>
      </c>
      <c r="P55" s="107">
        <f>O55/12</f>
        <v>1000</v>
      </c>
      <c r="Q55" s="33">
        <f>'Обобщенный расчет'!$G$48</f>
        <v>1000</v>
      </c>
      <c r="R55" s="33">
        <f>'Обобщенный расчет'!$G$48</f>
        <v>1000</v>
      </c>
      <c r="S55" s="33">
        <f>'Обобщенный расчет'!$G$48</f>
        <v>1000</v>
      </c>
      <c r="T55" s="33">
        <f>'Обобщенный расчет'!$G$48</f>
        <v>1000</v>
      </c>
      <c r="U55" s="33">
        <f>'Обобщенный расчет'!$G$48</f>
        <v>1000</v>
      </c>
      <c r="V55" s="33">
        <f>'Обобщенный расчет'!$G$48</f>
        <v>1000</v>
      </c>
      <c r="W55" s="33">
        <f>'Обобщенный расчет'!$G$48</f>
        <v>1000</v>
      </c>
      <c r="X55" s="33">
        <f>'Обобщенный расчет'!$G$48</f>
        <v>1000</v>
      </c>
      <c r="Y55" s="33">
        <f>'Обобщенный расчет'!$G$48</f>
        <v>1000</v>
      </c>
      <c r="Z55" s="33">
        <f>'Обобщенный расчет'!$G$48</f>
        <v>1000</v>
      </c>
      <c r="AA55" s="33">
        <f>'Обобщенный расчет'!$G$48</f>
        <v>1000</v>
      </c>
      <c r="AB55" s="33">
        <f>'Обобщенный расчет'!$G$48</f>
        <v>1000</v>
      </c>
      <c r="AC55" s="107">
        <f>SUM(Q55:AB55)</f>
        <v>12000</v>
      </c>
      <c r="AD55" s="107">
        <f>AC55/12</f>
        <v>1000</v>
      </c>
      <c r="AE55" s="33">
        <f>'Обобщенный расчет'!$G$48</f>
        <v>1000</v>
      </c>
      <c r="AF55" s="33">
        <f>'Обобщенный расчет'!$G$48</f>
        <v>1000</v>
      </c>
      <c r="AG55" s="33">
        <f>'Обобщенный расчет'!$G$48</f>
        <v>1000</v>
      </c>
      <c r="AH55" s="33">
        <f>'Обобщенный расчет'!$G$48</f>
        <v>1000</v>
      </c>
      <c r="AI55" s="33">
        <f>'Обобщенный расчет'!$G$48</f>
        <v>1000</v>
      </c>
      <c r="AJ55" s="33">
        <f>'Обобщенный расчет'!$G$48</f>
        <v>1000</v>
      </c>
      <c r="AK55" s="33">
        <f>'Обобщенный расчет'!$G$48</f>
        <v>1000</v>
      </c>
      <c r="AL55" s="33">
        <f>'Обобщенный расчет'!$G$48</f>
        <v>1000</v>
      </c>
      <c r="AM55" s="33">
        <f>'Обобщенный расчет'!$G$48</f>
        <v>1000</v>
      </c>
      <c r="AN55" s="33">
        <f>'Обобщенный расчет'!$G$48</f>
        <v>1000</v>
      </c>
      <c r="AO55" s="33">
        <f>'Обобщенный расчет'!$G$48</f>
        <v>1000</v>
      </c>
      <c r="AP55" s="33">
        <f>'Обобщенный расчет'!$G$48</f>
        <v>1000</v>
      </c>
      <c r="AQ55" s="107">
        <f>SUM(AE55:AP55)</f>
        <v>12000</v>
      </c>
      <c r="AR55" s="107">
        <f>AQ55/12</f>
        <v>1000</v>
      </c>
      <c r="AS55" s="114">
        <f>O55+AC55+AQ55</f>
        <v>36000</v>
      </c>
      <c r="AT55" s="34"/>
    </row>
    <row r="56" spans="1:46" s="38" customFormat="1" ht="10.5" x14ac:dyDescent="0.35">
      <c r="A56" s="61" t="str">
        <f>'Обобщенный расчет'!B49</f>
        <v>Услуги связи и интернет</v>
      </c>
      <c r="B56" s="24" t="str">
        <f>CHOOSE('Исходные данные'!$O$2,'Исходные данные'!$P$2,'Исходные данные'!$P$3,'Исходные данные'!$P$4,'Исходные данные'!$P$5)</f>
        <v>UAH</v>
      </c>
      <c r="C56" s="36">
        <f>'Обобщенный расчет'!$G$49*C12</f>
        <v>800</v>
      </c>
      <c r="D56" s="36">
        <f>'Обобщенный расчет'!$G$49*D12</f>
        <v>800</v>
      </c>
      <c r="E56" s="36">
        <f>'Обобщенный расчет'!$G$49*E12</f>
        <v>800</v>
      </c>
      <c r="F56" s="36">
        <f>'Обобщенный расчет'!$G$49*F12</f>
        <v>800</v>
      </c>
      <c r="G56" s="36">
        <f>'Обобщенный расчет'!$G$49*G12</f>
        <v>800</v>
      </c>
      <c r="H56" s="36">
        <f>'Обобщенный расчет'!$G$49*H12</f>
        <v>800</v>
      </c>
      <c r="I56" s="36">
        <f>'Обобщенный расчет'!$G$49*I12</f>
        <v>800</v>
      </c>
      <c r="J56" s="36">
        <f>'Обобщенный расчет'!$G$49*J12</f>
        <v>800</v>
      </c>
      <c r="K56" s="36">
        <f>'Обобщенный расчет'!$G$49*K12</f>
        <v>800</v>
      </c>
      <c r="L56" s="36">
        <f>'Обобщенный расчет'!$G$49*L12</f>
        <v>800</v>
      </c>
      <c r="M56" s="36">
        <f>'Обобщенный расчет'!$G$49*M12</f>
        <v>800</v>
      </c>
      <c r="N56" s="36">
        <f>'Обобщенный расчет'!$G$49*N12</f>
        <v>800</v>
      </c>
      <c r="O56" s="52">
        <f>SUM(C56:N56)</f>
        <v>9600</v>
      </c>
      <c r="P56" s="52">
        <f>O56/12</f>
        <v>800</v>
      </c>
      <c r="Q56" s="36">
        <f>'Обобщенный расчет'!$G$49*Q12</f>
        <v>800</v>
      </c>
      <c r="R56" s="36">
        <f>'Обобщенный расчет'!$G$49*R12</f>
        <v>800</v>
      </c>
      <c r="S56" s="36">
        <f>'Обобщенный расчет'!$G$49*S12</f>
        <v>800</v>
      </c>
      <c r="T56" s="36">
        <f>'Обобщенный расчет'!$G$49*T12</f>
        <v>800</v>
      </c>
      <c r="U56" s="36">
        <f>'Обобщенный расчет'!$G$49*U12</f>
        <v>800</v>
      </c>
      <c r="V56" s="36">
        <f>'Обобщенный расчет'!$G$49*V12</f>
        <v>800</v>
      </c>
      <c r="W56" s="36">
        <f>'Обобщенный расчет'!$G$49*W12</f>
        <v>800</v>
      </c>
      <c r="X56" s="36">
        <f>'Обобщенный расчет'!$G$49*X12</f>
        <v>800</v>
      </c>
      <c r="Y56" s="36">
        <f>'Обобщенный расчет'!$G$49*Y12</f>
        <v>800</v>
      </c>
      <c r="Z56" s="36">
        <f>'Обобщенный расчет'!$G$49*Z12</f>
        <v>800</v>
      </c>
      <c r="AA56" s="36">
        <f>'Обобщенный расчет'!$G$49*AA12</f>
        <v>800</v>
      </c>
      <c r="AB56" s="36">
        <f>'Обобщенный расчет'!$G$49*AB12</f>
        <v>800</v>
      </c>
      <c r="AC56" s="52">
        <f>SUM(Q56:AB56)</f>
        <v>9600</v>
      </c>
      <c r="AD56" s="52">
        <f>AC56/12</f>
        <v>800</v>
      </c>
      <c r="AE56" s="36">
        <f>'Обобщенный расчет'!$G$49*AE12</f>
        <v>800</v>
      </c>
      <c r="AF56" s="36">
        <f>'Обобщенный расчет'!$G$49*AF12</f>
        <v>800</v>
      </c>
      <c r="AG56" s="36">
        <f>'Обобщенный расчет'!$G$49*AG12</f>
        <v>800</v>
      </c>
      <c r="AH56" s="36">
        <f>'Обобщенный расчет'!$G$49*AH12</f>
        <v>800</v>
      </c>
      <c r="AI56" s="36">
        <f>'Обобщенный расчет'!$G$49*AI12</f>
        <v>800</v>
      </c>
      <c r="AJ56" s="36">
        <f>'Обобщенный расчет'!$G$49*AJ12</f>
        <v>800</v>
      </c>
      <c r="AK56" s="36">
        <f>'Обобщенный расчет'!$G$49*AK12</f>
        <v>800</v>
      </c>
      <c r="AL56" s="36">
        <f>'Обобщенный расчет'!$G$49*AL12</f>
        <v>800</v>
      </c>
      <c r="AM56" s="36">
        <f>'Обобщенный расчет'!$G$49*AM12</f>
        <v>800</v>
      </c>
      <c r="AN56" s="36">
        <f>'Обобщенный расчет'!$G$49*AN12</f>
        <v>800</v>
      </c>
      <c r="AO56" s="36">
        <f>'Обобщенный расчет'!$G$49*AO12</f>
        <v>800</v>
      </c>
      <c r="AP56" s="36">
        <f>'Обобщенный расчет'!$G$49*AP12</f>
        <v>800</v>
      </c>
      <c r="AQ56" s="52">
        <f>SUM(AE56:AP56)</f>
        <v>9600</v>
      </c>
      <c r="AR56" s="52">
        <f>AQ56/12</f>
        <v>800</v>
      </c>
      <c r="AS56" s="114">
        <f>O56+AC56+AQ56</f>
        <v>28800</v>
      </c>
      <c r="AT56" s="37"/>
    </row>
    <row r="57" spans="1:46" s="35" customFormat="1" ht="10.5" x14ac:dyDescent="0.35">
      <c r="A57" s="60" t="str">
        <f>'Обобщенный расчет'!B50</f>
        <v>Ведение бухгалтерского учета</v>
      </c>
      <c r="B57" s="21" t="str">
        <f>CHOOSE('Исходные данные'!$O$2,'Исходные данные'!$P$2,'Исходные данные'!$P$3,'Исходные данные'!$P$4,'Исходные данные'!$P$5)</f>
        <v>UAH</v>
      </c>
      <c r="C57" s="33">
        <f>'Обобщенный расчет'!$G$50</f>
        <v>0</v>
      </c>
      <c r="D57" s="33">
        <f>'Обобщенный расчет'!$G$50</f>
        <v>0</v>
      </c>
      <c r="E57" s="33">
        <f>'Обобщенный расчет'!$G$50</f>
        <v>0</v>
      </c>
      <c r="F57" s="33">
        <f>'Обобщенный расчет'!$G$50</f>
        <v>0</v>
      </c>
      <c r="G57" s="33">
        <f>'Обобщенный расчет'!$G$50</f>
        <v>0</v>
      </c>
      <c r="H57" s="33">
        <f>'Обобщенный расчет'!$G$50</f>
        <v>0</v>
      </c>
      <c r="I57" s="33">
        <f>'Обобщенный расчет'!$G$50</f>
        <v>0</v>
      </c>
      <c r="J57" s="33">
        <f>'Обобщенный расчет'!$G$50</f>
        <v>0</v>
      </c>
      <c r="K57" s="33">
        <f>'Обобщенный расчет'!$G$50</f>
        <v>0</v>
      </c>
      <c r="L57" s="33">
        <f>'Обобщенный расчет'!$G$50</f>
        <v>0</v>
      </c>
      <c r="M57" s="33">
        <f>'Обобщенный расчет'!$G$50</f>
        <v>0</v>
      </c>
      <c r="N57" s="33">
        <f>'Обобщенный расчет'!$G$50</f>
        <v>0</v>
      </c>
      <c r="O57" s="107">
        <f t="shared" si="68"/>
        <v>0</v>
      </c>
      <c r="P57" s="107">
        <f t="shared" si="69"/>
        <v>0</v>
      </c>
      <c r="Q57" s="33">
        <f>'Обобщенный расчет'!$G$50</f>
        <v>0</v>
      </c>
      <c r="R57" s="33">
        <f>'Обобщенный расчет'!$G$50</f>
        <v>0</v>
      </c>
      <c r="S57" s="33">
        <f>'Обобщенный расчет'!$G$50</f>
        <v>0</v>
      </c>
      <c r="T57" s="33">
        <f>'Обобщенный расчет'!$G$50</f>
        <v>0</v>
      </c>
      <c r="U57" s="33">
        <f>'Обобщенный расчет'!$G$50</f>
        <v>0</v>
      </c>
      <c r="V57" s="33">
        <f>'Обобщенный расчет'!$G$50</f>
        <v>0</v>
      </c>
      <c r="W57" s="33">
        <f>'Обобщенный расчет'!$G$50</f>
        <v>0</v>
      </c>
      <c r="X57" s="33">
        <f>'Обобщенный расчет'!$G$50</f>
        <v>0</v>
      </c>
      <c r="Y57" s="33">
        <f>'Обобщенный расчет'!$G$50</f>
        <v>0</v>
      </c>
      <c r="Z57" s="33">
        <f>'Обобщенный расчет'!$G$50</f>
        <v>0</v>
      </c>
      <c r="AA57" s="33">
        <f>'Обобщенный расчет'!$G$50</f>
        <v>0</v>
      </c>
      <c r="AB57" s="33">
        <f>'Обобщенный расчет'!$G$50</f>
        <v>0</v>
      </c>
      <c r="AC57" s="107">
        <f t="shared" si="70"/>
        <v>0</v>
      </c>
      <c r="AD57" s="107">
        <f t="shared" si="71"/>
        <v>0</v>
      </c>
      <c r="AE57" s="33">
        <f>'Обобщенный расчет'!$G$50</f>
        <v>0</v>
      </c>
      <c r="AF57" s="33">
        <f>'Обобщенный расчет'!$G$50</f>
        <v>0</v>
      </c>
      <c r="AG57" s="33">
        <f>'Обобщенный расчет'!$G$50</f>
        <v>0</v>
      </c>
      <c r="AH57" s="33">
        <f>'Обобщенный расчет'!$G$50</f>
        <v>0</v>
      </c>
      <c r="AI57" s="33">
        <f>'Обобщенный расчет'!$G$50</f>
        <v>0</v>
      </c>
      <c r="AJ57" s="33">
        <f>'Обобщенный расчет'!$G$50</f>
        <v>0</v>
      </c>
      <c r="AK57" s="33">
        <f>'Обобщенный расчет'!$G$50</f>
        <v>0</v>
      </c>
      <c r="AL57" s="33">
        <f>'Обобщенный расчет'!$G$50</f>
        <v>0</v>
      </c>
      <c r="AM57" s="33">
        <f>'Обобщенный расчет'!$G$50</f>
        <v>0</v>
      </c>
      <c r="AN57" s="33">
        <f>'Обобщенный расчет'!$G$50</f>
        <v>0</v>
      </c>
      <c r="AO57" s="33">
        <f>'Обобщенный расчет'!$G$50</f>
        <v>0</v>
      </c>
      <c r="AP57" s="33">
        <f>'Обобщенный расчет'!$G$50</f>
        <v>0</v>
      </c>
      <c r="AQ57" s="107">
        <f t="shared" si="72"/>
        <v>0</v>
      </c>
      <c r="AR57" s="107">
        <f t="shared" si="73"/>
        <v>0</v>
      </c>
      <c r="AS57" s="114">
        <f t="shared" si="74"/>
        <v>0</v>
      </c>
      <c r="AT57" s="34"/>
    </row>
    <row r="58" spans="1:46" s="38" customFormat="1" ht="10.5" x14ac:dyDescent="0.35">
      <c r="A58" s="61" t="str">
        <f>'Обобщенный расчет'!B51</f>
        <v>Транспортные расходы</v>
      </c>
      <c r="B58" s="24" t="str">
        <f>CHOOSE('Исходные данные'!$O$2,'Исходные данные'!$P$2,'Исходные данные'!$P$3,'Исходные данные'!$P$4,'Исходные данные'!$P$5)</f>
        <v>UAH</v>
      </c>
      <c r="C58" s="36">
        <f>'Обобщенный расчет'!$G$51</f>
        <v>200</v>
      </c>
      <c r="D58" s="36">
        <f>'Обобщенный расчет'!$G$51</f>
        <v>200</v>
      </c>
      <c r="E58" s="36">
        <f>'Обобщенный расчет'!$G$51</f>
        <v>200</v>
      </c>
      <c r="F58" s="36">
        <f>'Обобщенный расчет'!$G$51</f>
        <v>200</v>
      </c>
      <c r="G58" s="36">
        <f>'Обобщенный расчет'!$G$51</f>
        <v>200</v>
      </c>
      <c r="H58" s="36">
        <f>'Обобщенный расчет'!$G$51</f>
        <v>200</v>
      </c>
      <c r="I58" s="36">
        <f>'Обобщенный расчет'!$G$51</f>
        <v>200</v>
      </c>
      <c r="J58" s="36">
        <f>'Обобщенный расчет'!$G$51</f>
        <v>200</v>
      </c>
      <c r="K58" s="36">
        <f>'Обобщенный расчет'!$G$51</f>
        <v>200</v>
      </c>
      <c r="L58" s="36">
        <f>'Обобщенный расчет'!$G$51</f>
        <v>200</v>
      </c>
      <c r="M58" s="36">
        <f>'Обобщенный расчет'!$G$51</f>
        <v>200</v>
      </c>
      <c r="N58" s="36">
        <f>'Обобщенный расчет'!$G$51</f>
        <v>200</v>
      </c>
      <c r="O58" s="52">
        <f t="shared" si="68"/>
        <v>2400</v>
      </c>
      <c r="P58" s="52">
        <f t="shared" si="69"/>
        <v>200</v>
      </c>
      <c r="Q58" s="36">
        <f>'Обобщенный расчет'!$G$51</f>
        <v>200</v>
      </c>
      <c r="R58" s="36">
        <f>'Обобщенный расчет'!$G$51</f>
        <v>200</v>
      </c>
      <c r="S58" s="36">
        <f>'Обобщенный расчет'!$G$51</f>
        <v>200</v>
      </c>
      <c r="T58" s="36">
        <f>'Обобщенный расчет'!$G$51</f>
        <v>200</v>
      </c>
      <c r="U58" s="36">
        <f>'Обобщенный расчет'!$G$51</f>
        <v>200</v>
      </c>
      <c r="V58" s="36">
        <f>'Обобщенный расчет'!$G$51</f>
        <v>200</v>
      </c>
      <c r="W58" s="36">
        <f>'Обобщенный расчет'!$G$51</f>
        <v>200</v>
      </c>
      <c r="X58" s="36">
        <f>'Обобщенный расчет'!$G$51</f>
        <v>200</v>
      </c>
      <c r="Y58" s="36">
        <f>'Обобщенный расчет'!$G$51</f>
        <v>200</v>
      </c>
      <c r="Z58" s="36">
        <f>'Обобщенный расчет'!$G$51</f>
        <v>200</v>
      </c>
      <c r="AA58" s="36">
        <f>'Обобщенный расчет'!$G$51</f>
        <v>200</v>
      </c>
      <c r="AB58" s="36">
        <f>'Обобщенный расчет'!$G$51</f>
        <v>200</v>
      </c>
      <c r="AC58" s="52">
        <f t="shared" si="70"/>
        <v>2400</v>
      </c>
      <c r="AD58" s="52">
        <f t="shared" si="71"/>
        <v>200</v>
      </c>
      <c r="AE58" s="36">
        <f>'Обобщенный расчет'!$G$51</f>
        <v>200</v>
      </c>
      <c r="AF58" s="36">
        <f>'Обобщенный расчет'!$G$51</f>
        <v>200</v>
      </c>
      <c r="AG58" s="36">
        <f>'Обобщенный расчет'!$G$51</f>
        <v>200</v>
      </c>
      <c r="AH58" s="36">
        <f>'Обобщенный расчет'!$G$51</f>
        <v>200</v>
      </c>
      <c r="AI58" s="36">
        <f>'Обобщенный расчет'!$G$51</f>
        <v>200</v>
      </c>
      <c r="AJ58" s="36">
        <f>'Обобщенный расчет'!$G$51</f>
        <v>200</v>
      </c>
      <c r="AK58" s="36">
        <f>'Обобщенный расчет'!$G$51</f>
        <v>200</v>
      </c>
      <c r="AL58" s="36">
        <f>'Обобщенный расчет'!$G$51</f>
        <v>200</v>
      </c>
      <c r="AM58" s="36">
        <f>'Обобщенный расчет'!$G$51</f>
        <v>200</v>
      </c>
      <c r="AN58" s="36">
        <f>'Обобщенный расчет'!$G$51</f>
        <v>200</v>
      </c>
      <c r="AO58" s="36">
        <f>'Обобщенный расчет'!$G$51</f>
        <v>200</v>
      </c>
      <c r="AP58" s="36">
        <f>'Обобщенный расчет'!$G$51</f>
        <v>200</v>
      </c>
      <c r="AQ58" s="52">
        <f t="shared" si="72"/>
        <v>2400</v>
      </c>
      <c r="AR58" s="52">
        <f t="shared" si="73"/>
        <v>200</v>
      </c>
      <c r="AS58" s="114">
        <f t="shared" si="74"/>
        <v>7200</v>
      </c>
      <c r="AT58" s="37"/>
    </row>
    <row r="59" spans="1:46" s="35" customFormat="1" ht="10.5" x14ac:dyDescent="0.35">
      <c r="A59" s="60" t="str">
        <f>'Обобщенный расчет'!B52</f>
        <v>Банковское обслуживание</v>
      </c>
      <c r="B59" s="21" t="str">
        <f>CHOOSE('Исходные данные'!$O$2,'Исходные данные'!$P$2,'Исходные данные'!$P$3,'Исходные данные'!$P$4,'Исходные данные'!$P$5)</f>
        <v>UAH</v>
      </c>
      <c r="C59" s="33">
        <f>C24*CHOOSE('Обобщенный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D59" s="33">
        <f>D24*CHOOSE('Обобщенный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E59" s="33">
        <f>E24*CHOOSE('Обобщенный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F59" s="33">
        <f>F24*CHOOSE('Обобщенный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G59" s="33">
        <f>G24*CHOOSE('Обобщенный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H59" s="33">
        <f>H24*CHOOSE('Обобщенный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I59" s="33">
        <f>I24*CHOOSE('Обобщенный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J59" s="33">
        <f>J24*CHOOSE('Обобщенный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K59" s="33">
        <f>K24*CHOOSE('Обобщенный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L59" s="33">
        <f>L24*CHOOSE('Обобщенный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M59" s="33">
        <f>M24*CHOOSE('Обобщенный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N59" s="33">
        <f>N24*CHOOSE('Обобщенный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O59" s="107">
        <f>SUM(C59:N59)</f>
        <v>0</v>
      </c>
      <c r="P59" s="107">
        <f t="shared" si="69"/>
        <v>0</v>
      </c>
      <c r="Q59" s="33">
        <f>Q24*CHOOSE('Обобщенный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R59" s="33">
        <f>R24*CHOOSE('Обобщенный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S59" s="33">
        <f>S24*CHOOSE('Обобщенный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T59" s="33">
        <f>T24*CHOOSE('Обобщенный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U59" s="33">
        <f>U24*CHOOSE('Обобщенный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V59" s="33">
        <f>V24*CHOOSE('Обобщенный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W59" s="33">
        <f>W24*CHOOSE('Обобщенный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X59" s="33">
        <f>X24*CHOOSE('Обобщенный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Y59" s="33">
        <f>Y24*CHOOSE('Обобщенный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Z59" s="33">
        <f>Z24*CHOOSE('Обобщенный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A59" s="33">
        <f>AA24*CHOOSE('Обобщенный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B59" s="33">
        <f>AB24*CHOOSE('Обобщенный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C59" s="107">
        <f t="shared" si="70"/>
        <v>0</v>
      </c>
      <c r="AD59" s="107">
        <f t="shared" si="71"/>
        <v>0</v>
      </c>
      <c r="AE59" s="33">
        <f>AE24*CHOOSE('Обобщенный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F59" s="33">
        <f>AF24*CHOOSE('Обобщенный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G59" s="33">
        <f>AG24*CHOOSE('Обобщенный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H59" s="33">
        <f>AH24*CHOOSE('Обобщенный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I59" s="33">
        <f>AI24*CHOOSE('Обобщенный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J59" s="33">
        <f>AJ24*CHOOSE('Обобщенный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K59" s="33">
        <f>AK24*CHOOSE('Обобщенный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L59" s="33">
        <f>AL24*CHOOSE('Обобщенный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M59" s="33">
        <f>AM24*CHOOSE('Обобщенный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N59" s="33">
        <f>AN24*CHOOSE('Обобщенный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O59" s="33">
        <f>AO24*CHOOSE('Обобщенный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P59" s="33">
        <f>AP24*CHOOSE('Обобщенный расчет'!$N$1,'Исходные данные'!$D$121*'Исходные данные'!$D$122,'Исходные данные'!$F$121*'Исходные данные'!$F$122,'Исходные данные'!$I$121*'Исходные данные'!$I$122)</f>
        <v>0</v>
      </c>
      <c r="AQ59" s="107">
        <f t="shared" si="72"/>
        <v>0</v>
      </c>
      <c r="AR59" s="107">
        <f t="shared" si="73"/>
        <v>0</v>
      </c>
      <c r="AS59" s="114">
        <f t="shared" si="74"/>
        <v>0</v>
      </c>
      <c r="AT59" s="34"/>
    </row>
    <row r="60" spans="1:46" s="38" customFormat="1" ht="10.5" x14ac:dyDescent="0.35">
      <c r="A60" s="61" t="str">
        <f>'Обобщенный расчет'!B53</f>
        <v>Налоги</v>
      </c>
      <c r="B60" s="24" t="str">
        <f>CHOOSE('Исходные данные'!$O$2,'Исходные данные'!$P$2,'Исходные данные'!$P$3,'Исходные данные'!$P$4,'Исходные данные'!$P$5)</f>
        <v>UAH</v>
      </c>
      <c r="C60" s="36">
        <f>C13*'Детальный расчет'!C24*IF('Обобщенный расчет'!$P$1=1,CHOOSE('Обобщенный расчет'!$N$1,'Исходные данные'!$D$123,'Исходные данные'!$F$123,'Исходные данные'!$I$123),0)+C13*IF('Обобщенный расчет'!$P$1=2,CHOOSE('Обобщенный расчет'!$N$1,'Исходные данные'!$E$125,'Исходные данные'!$G$125,'Исходные данные'!$J$125),0)</f>
        <v>0</v>
      </c>
      <c r="D60" s="36">
        <f>D13*'Детальный расчет'!D24*IF('Обобщенный расчет'!$P$1=1,CHOOSE('Обобщенный расчет'!$N$1,'Исходные данные'!$D$123,'Исходные данные'!$F$123,'Исходные данные'!$I$123),0)+D13*IF('Обобщенный расчет'!$P$1=2,CHOOSE('Обобщенный расчет'!$N$1,'Исходные данные'!$E$125,'Исходные данные'!$G$125,'Исходные данные'!$J$125),0)</f>
        <v>0</v>
      </c>
      <c r="E60" s="36">
        <f>E13*'Детальный расчет'!E24*IF('Обобщенный расчет'!$P$1=1,CHOOSE('Обобщенный расчет'!$N$1,'Исходные данные'!$D$123,'Исходные данные'!$F$123,'Исходные данные'!$I$123),0)+E13*IF('Обобщенный расчет'!$P$1=2,CHOOSE('Обобщенный расчет'!$N$1,'Исходные данные'!$E$125,'Исходные данные'!$G$125,'Исходные данные'!$J$125),0)</f>
        <v>0</v>
      </c>
      <c r="F60" s="36">
        <f>F13*'Детальный расчет'!F24*IF('Обобщенный расчет'!$P$1=1,CHOOSE('Обобщенный расчет'!$N$1,'Исходные данные'!$D$123,'Исходные данные'!$F$123,'Исходные данные'!$I$123),0)+F13*IF('Обобщенный расчет'!$P$1=2,CHOOSE('Обобщенный расчет'!$N$1,'Исходные данные'!$E$125,'Исходные данные'!$G$125,'Исходные данные'!$J$125),0)</f>
        <v>0</v>
      </c>
      <c r="G60" s="36">
        <f>G13*'Детальный расчет'!G24*IF('Обобщенный расчет'!$P$1=1,CHOOSE('Обобщенный расчет'!$N$1,'Исходные данные'!$D$123,'Исходные данные'!$F$123,'Исходные данные'!$I$123),0)+G13*IF('Обобщенный расчет'!$P$1=2,CHOOSE('Обобщенный расчет'!$N$1,'Исходные данные'!$E$125,'Исходные данные'!$G$125,'Исходные данные'!$J$125),0)</f>
        <v>0</v>
      </c>
      <c r="H60" s="36">
        <f>H13*'Детальный расчет'!H24*IF('Обобщенный расчет'!$P$1=1,CHOOSE('Обобщенный расчет'!$N$1,'Исходные данные'!$D$123,'Исходные данные'!$F$123,'Исходные данные'!$I$123),0)+H13*IF('Обобщенный расчет'!$P$1=2,CHOOSE('Обобщенный расчет'!$N$1,'Исходные данные'!$E$125,'Исходные данные'!$G$125,'Исходные данные'!$J$125),0)</f>
        <v>0</v>
      </c>
      <c r="I60" s="36">
        <f>I13*'Детальный расчет'!I24*IF('Обобщенный расчет'!$P$1=1,CHOOSE('Обобщенный расчет'!$N$1,'Исходные данные'!$D$123,'Исходные данные'!$F$123,'Исходные данные'!$I$123),0)+I13*IF('Обобщенный расчет'!$P$1=2,CHOOSE('Обобщенный расчет'!$N$1,'Исходные данные'!$E$125,'Исходные данные'!$G$125,'Исходные данные'!$J$125),0)</f>
        <v>0</v>
      </c>
      <c r="J60" s="36">
        <f>J13*'Детальный расчет'!J24*IF('Обобщенный расчет'!$P$1=1,CHOOSE('Обобщенный расчет'!$N$1,'Исходные данные'!$D$123,'Исходные данные'!$F$123,'Исходные данные'!$I$123),0)+J13*IF('Обобщенный расчет'!$P$1=2,CHOOSE('Обобщенный расчет'!$N$1,'Исходные данные'!$E$125,'Исходные данные'!$G$125,'Исходные данные'!$J$125),0)</f>
        <v>0</v>
      </c>
      <c r="K60" s="36">
        <f>K13*'Детальный расчет'!K24*IF('Обобщенный расчет'!$P$1=1,CHOOSE('Обобщенный расчет'!$N$1,'Исходные данные'!$D$123,'Исходные данные'!$F$123,'Исходные данные'!$I$123),0)+K13*IF('Обобщенный расчет'!$P$1=2,CHOOSE('Обобщенный расчет'!$N$1,'Исходные данные'!$E$125,'Исходные данные'!$G$125,'Исходные данные'!$J$125),0)</f>
        <v>0</v>
      </c>
      <c r="L60" s="36">
        <f>L13*'Детальный расчет'!L24*IF('Обобщенный расчет'!$P$1=1,CHOOSE('Обобщенный расчет'!$N$1,'Исходные данные'!$D$123,'Исходные данные'!$F$123,'Исходные данные'!$I$123),0)+L13*IF('Обобщенный расчет'!$P$1=2,CHOOSE('Обобщенный расчет'!$N$1,'Исходные данные'!$E$125,'Исходные данные'!$G$125,'Исходные данные'!$J$125),0)</f>
        <v>0</v>
      </c>
      <c r="M60" s="36">
        <f>M13*'Детальный расчет'!M24*IF('Обобщенный расчет'!$P$1=1,CHOOSE('Обобщенный расчет'!$N$1,'Исходные данные'!$D$123,'Исходные данные'!$F$123,'Исходные данные'!$I$123),0)+M13*IF('Обобщенный расчет'!$P$1=2,CHOOSE('Обобщенный расчет'!$N$1,'Исходные данные'!$E$125,'Исходные данные'!$G$125,'Исходные данные'!$J$125),0)</f>
        <v>0</v>
      </c>
      <c r="N60" s="36">
        <f>N13*'Детальный расчет'!N24*IF('Обобщенный расчет'!$P$1=1,CHOOSE('Обобщенный расчет'!$N$1,'Исходные данные'!$D$123,'Исходные данные'!$F$123,'Исходные данные'!$I$123),0)+N13*IF('Обобщенный расчет'!$P$1=2,CHOOSE('Обобщенный расчет'!$N$1,'Исходные данные'!$E$125,'Исходные данные'!$G$125,'Исходные данные'!$J$125),0)</f>
        <v>0</v>
      </c>
      <c r="O60" s="52">
        <f t="shared" si="68"/>
        <v>0</v>
      </c>
      <c r="P60" s="52">
        <f t="shared" si="69"/>
        <v>0</v>
      </c>
      <c r="Q60" s="36">
        <f>Q13*'Детальный расчет'!Q24*IF('Обобщенный расчет'!$P$1=1,CHOOSE('Обобщенный расчет'!$N$1,'Исходные данные'!$D$123,'Исходные данные'!$F$123,'Исходные данные'!$I$123),0)+Q13*IF('Обобщенный расчет'!$P$1=2,CHOOSE('Обобщенный расчет'!$N$1,'Исходные данные'!$E$125,'Исходные данные'!$G$125,'Исходные данные'!$J$125),0)</f>
        <v>0</v>
      </c>
      <c r="R60" s="36">
        <f>R13*'Детальный расчет'!R24*IF('Обобщенный расчет'!$P$1=1,CHOOSE('Обобщенный расчет'!$N$1,'Исходные данные'!$D$123,'Исходные данные'!$F$123,'Исходные данные'!$I$123),0)+R13*IF('Обобщенный расчет'!$P$1=2,CHOOSE('Обобщенный расчет'!$N$1,'Исходные данные'!$E$125,'Исходные данные'!$G$125,'Исходные данные'!$J$125),0)</f>
        <v>0</v>
      </c>
      <c r="S60" s="36">
        <f>S13*'Детальный расчет'!S24*IF('Обобщенный расчет'!$P$1=1,CHOOSE('Обобщенный расчет'!$N$1,'Исходные данные'!$D$123,'Исходные данные'!$F$123,'Исходные данные'!$I$123),0)+S13*IF('Обобщенный расчет'!$P$1=2,CHOOSE('Обобщенный расчет'!$N$1,'Исходные данные'!$E$125,'Исходные данные'!$G$125,'Исходные данные'!$J$125),0)</f>
        <v>0</v>
      </c>
      <c r="T60" s="36">
        <f>T13*'Детальный расчет'!T24*IF('Обобщенный расчет'!$P$1=1,CHOOSE('Обобщенный расчет'!$N$1,'Исходные данные'!$D$123,'Исходные данные'!$F$123,'Исходные данные'!$I$123),0)+T13*IF('Обобщенный расчет'!$P$1=2,CHOOSE('Обобщенный расчет'!$N$1,'Исходные данные'!$E$125,'Исходные данные'!$G$125,'Исходные данные'!$J$125),0)</f>
        <v>0</v>
      </c>
      <c r="U60" s="36">
        <f>U13*'Детальный расчет'!U24*IF('Обобщенный расчет'!$P$1=1,CHOOSE('Обобщенный расчет'!$N$1,'Исходные данные'!$D$123,'Исходные данные'!$F$123,'Исходные данные'!$I$123),0)+U13*IF('Обобщенный расчет'!$P$1=2,CHOOSE('Обобщенный расчет'!$N$1,'Исходные данные'!$E$125,'Исходные данные'!$G$125,'Исходные данные'!$J$125),0)</f>
        <v>0</v>
      </c>
      <c r="V60" s="36">
        <f>V13*'Детальный расчет'!V24*IF('Обобщенный расчет'!$P$1=1,CHOOSE('Обобщенный расчет'!$N$1,'Исходные данные'!$D$123,'Исходные данные'!$F$123,'Исходные данные'!$I$123),0)+V13*IF('Обобщенный расчет'!$P$1=2,CHOOSE('Обобщенный расчет'!$N$1,'Исходные данные'!$E$125,'Исходные данные'!$G$125,'Исходные данные'!$J$125),0)</f>
        <v>0</v>
      </c>
      <c r="W60" s="36">
        <f>W13*'Детальный расчет'!W24*IF('Обобщенный расчет'!$P$1=1,CHOOSE('Обобщенный расчет'!$N$1,'Исходные данные'!$D$123,'Исходные данные'!$F$123,'Исходные данные'!$I$123),0)+W13*IF('Обобщенный расчет'!$P$1=2,CHOOSE('Обобщенный расчет'!$N$1,'Исходные данные'!$E$125,'Исходные данные'!$G$125,'Исходные данные'!$J$125),0)</f>
        <v>0</v>
      </c>
      <c r="X60" s="36">
        <f>X13*'Детальный расчет'!X24*IF('Обобщенный расчет'!$P$1=1,CHOOSE('Обобщенный расчет'!$N$1,'Исходные данные'!$D$123,'Исходные данные'!$F$123,'Исходные данные'!$I$123),0)+X13*IF('Обобщенный расчет'!$P$1=2,CHOOSE('Обобщенный расчет'!$N$1,'Исходные данные'!$E$125,'Исходные данные'!$G$125,'Исходные данные'!$J$125),0)</f>
        <v>0</v>
      </c>
      <c r="Y60" s="36">
        <f>Y13*'Детальный расчет'!Y24*IF('Обобщенный расчет'!$P$1=1,CHOOSE('Обобщенный расчет'!$N$1,'Исходные данные'!$D$123,'Исходные данные'!$F$123,'Исходные данные'!$I$123),0)+Y13*IF('Обобщенный расчет'!$P$1=2,CHOOSE('Обобщенный расчет'!$N$1,'Исходные данные'!$E$125,'Исходные данные'!$G$125,'Исходные данные'!$J$125),0)</f>
        <v>0</v>
      </c>
      <c r="Z60" s="36">
        <f>Z13*'Детальный расчет'!Z24*IF('Обобщенный расчет'!$P$1=1,CHOOSE('Обобщенный расчет'!$N$1,'Исходные данные'!$D$123,'Исходные данные'!$F$123,'Исходные данные'!$I$123),0)+Z13*IF('Обобщенный расчет'!$P$1=2,CHOOSE('Обобщенный расчет'!$N$1,'Исходные данные'!$E$125,'Исходные данные'!$G$125,'Исходные данные'!$J$125),0)</f>
        <v>0</v>
      </c>
      <c r="AA60" s="36">
        <f>AA13*'Детальный расчет'!AA24*IF('Обобщенный расчет'!$P$1=1,CHOOSE('Обобщенный расчет'!$N$1,'Исходные данные'!$D$123,'Исходные данные'!$F$123,'Исходные данные'!$I$123),0)+AA13*IF('Обобщенный расчет'!$P$1=2,CHOOSE('Обобщенный расчет'!$N$1,'Исходные данные'!$E$125,'Исходные данные'!$G$125,'Исходные данные'!$J$125),0)</f>
        <v>0</v>
      </c>
      <c r="AB60" s="36">
        <f>AB13*'Детальный расчет'!AB24*IF('Обобщенный расчет'!$P$1=1,CHOOSE('Обобщенный расчет'!$N$1,'Исходные данные'!$D$123,'Исходные данные'!$F$123,'Исходные данные'!$I$123),0)+AB13*IF('Обобщенный расчет'!$P$1=2,CHOOSE('Обобщенный расчет'!$N$1,'Исходные данные'!$E$125,'Исходные данные'!$G$125,'Исходные данные'!$J$125),0)</f>
        <v>0</v>
      </c>
      <c r="AC60" s="52">
        <f t="shared" si="70"/>
        <v>0</v>
      </c>
      <c r="AD60" s="52">
        <f t="shared" si="71"/>
        <v>0</v>
      </c>
      <c r="AE60" s="36">
        <f>AE13*'Детальный расчет'!AE24*IF('Обобщенный расчет'!$P$1=1,CHOOSE('Обобщенный расчет'!$N$1,'Исходные данные'!$D$123,'Исходные данные'!$F$123,'Исходные данные'!$I$123),0)+AE13*IF('Обобщенный расчет'!$P$1=2,CHOOSE('Обобщенный расчет'!$N$1,'Исходные данные'!$E$125,'Исходные данные'!$G$125,'Исходные данные'!$J$125),0)</f>
        <v>0</v>
      </c>
      <c r="AF60" s="36">
        <f>AF13*'Детальный расчет'!AF24*IF('Обобщенный расчет'!$P$1=1,CHOOSE('Обобщенный расчет'!$N$1,'Исходные данные'!$D$123,'Исходные данные'!$F$123,'Исходные данные'!$I$123),0)+AF13*IF('Обобщенный расчет'!$P$1=2,CHOOSE('Обобщенный расчет'!$N$1,'Исходные данные'!$E$125,'Исходные данные'!$G$125,'Исходные данные'!$J$125),0)</f>
        <v>0</v>
      </c>
      <c r="AG60" s="36">
        <f>AG13*'Детальный расчет'!AG24*IF('Обобщенный расчет'!$P$1=1,CHOOSE('Обобщенный расчет'!$N$1,'Исходные данные'!$D$123,'Исходные данные'!$F$123,'Исходные данные'!$I$123),0)+AG13*IF('Обобщенный расчет'!$P$1=2,CHOOSE('Обобщенный расчет'!$N$1,'Исходные данные'!$E$125,'Исходные данные'!$G$125,'Исходные данные'!$J$125),0)</f>
        <v>0</v>
      </c>
      <c r="AH60" s="36">
        <f>AH13*'Детальный расчет'!AH24*IF('Обобщенный расчет'!$P$1=1,CHOOSE('Обобщенный расчет'!$N$1,'Исходные данные'!$D$123,'Исходные данные'!$F$123,'Исходные данные'!$I$123),0)+AH13*IF('Обобщенный расчет'!$P$1=2,CHOOSE('Обобщенный расчет'!$N$1,'Исходные данные'!$E$125,'Исходные данные'!$G$125,'Исходные данные'!$J$125),0)</f>
        <v>0</v>
      </c>
      <c r="AI60" s="36">
        <f>AI13*'Детальный расчет'!AI24*IF('Обобщенный расчет'!$P$1=1,CHOOSE('Обобщенный расчет'!$N$1,'Исходные данные'!$D$123,'Исходные данные'!$F$123,'Исходные данные'!$I$123),0)+AI13*IF('Обобщенный расчет'!$P$1=2,CHOOSE('Обобщенный расчет'!$N$1,'Исходные данные'!$E$125,'Исходные данные'!$G$125,'Исходные данные'!$J$125),0)</f>
        <v>0</v>
      </c>
      <c r="AJ60" s="36">
        <f>AJ13*'Детальный расчет'!AJ24*IF('Обобщенный расчет'!$P$1=1,CHOOSE('Обобщенный расчет'!$N$1,'Исходные данные'!$D$123,'Исходные данные'!$F$123,'Исходные данные'!$I$123),0)+AJ13*IF('Обобщенный расчет'!$P$1=2,CHOOSE('Обобщенный расчет'!$N$1,'Исходные данные'!$E$125,'Исходные данные'!$G$125,'Исходные данные'!$J$125),0)</f>
        <v>0</v>
      </c>
      <c r="AK60" s="36">
        <f>AK13*'Детальный расчет'!AK24*IF('Обобщенный расчет'!$P$1=1,CHOOSE('Обобщенный расчет'!$N$1,'Исходные данные'!$D$123,'Исходные данные'!$F$123,'Исходные данные'!$I$123),0)+AK13*IF('Обобщенный расчет'!$P$1=2,CHOOSE('Обобщенный расчет'!$N$1,'Исходные данные'!$E$125,'Исходные данные'!$G$125,'Исходные данные'!$J$125),0)</f>
        <v>0</v>
      </c>
      <c r="AL60" s="36">
        <f>AL13*'Детальный расчет'!AL24*IF('Обобщенный расчет'!$P$1=1,CHOOSE('Обобщенный расчет'!$N$1,'Исходные данные'!$D$123,'Исходные данные'!$F$123,'Исходные данные'!$I$123),0)+AL13*IF('Обобщенный расчет'!$P$1=2,CHOOSE('Обобщенный расчет'!$N$1,'Исходные данные'!$E$125,'Исходные данные'!$G$125,'Исходные данные'!$J$125),0)</f>
        <v>0</v>
      </c>
      <c r="AM60" s="36">
        <f>AM13*'Детальный расчет'!AM24*IF('Обобщенный расчет'!$P$1=1,CHOOSE('Обобщенный расчет'!$N$1,'Исходные данные'!$D$123,'Исходные данные'!$F$123,'Исходные данные'!$I$123),0)+AM13*IF('Обобщенный расчет'!$P$1=2,CHOOSE('Обобщенный расчет'!$N$1,'Исходные данные'!$E$125,'Исходные данные'!$G$125,'Исходные данные'!$J$125),0)</f>
        <v>0</v>
      </c>
      <c r="AN60" s="36">
        <f>AN13*'Детальный расчет'!AN24*IF('Обобщенный расчет'!$P$1=1,CHOOSE('Обобщенный расчет'!$N$1,'Исходные данные'!$D$123,'Исходные данные'!$F$123,'Исходные данные'!$I$123),0)+AN13*IF('Обобщенный расчет'!$P$1=2,CHOOSE('Обобщенный расчет'!$N$1,'Исходные данные'!$E$125,'Исходные данные'!$G$125,'Исходные данные'!$J$125),0)</f>
        <v>0</v>
      </c>
      <c r="AO60" s="36">
        <f>AO13*'Детальный расчет'!AO24*IF('Обобщенный расчет'!$P$1=1,CHOOSE('Обобщенный расчет'!$N$1,'Исходные данные'!$D$123,'Исходные данные'!$F$123,'Исходные данные'!$I$123),0)+AO13*IF('Обобщенный расчет'!$P$1=2,CHOOSE('Обобщенный расчет'!$N$1,'Исходные данные'!$E$125,'Исходные данные'!$G$125,'Исходные данные'!$J$125),0)</f>
        <v>0</v>
      </c>
      <c r="AP60" s="36">
        <f>AP13*'Детальный расчет'!AP24*IF('Обобщенный расчет'!$P$1=1,CHOOSE('Обобщенный расчет'!$N$1,'Исходные данные'!$D$123,'Исходные данные'!$F$123,'Исходные данные'!$I$123),0)+AP13*IF('Обобщенный расчет'!$P$1=2,CHOOSE('Обобщенный расчет'!$N$1,'Исходные данные'!$E$125,'Исходные данные'!$G$125,'Исходные данные'!$J$125),0)</f>
        <v>0</v>
      </c>
      <c r="AQ60" s="52">
        <f t="shared" si="72"/>
        <v>0</v>
      </c>
      <c r="AR60" s="52">
        <f t="shared" si="73"/>
        <v>0</v>
      </c>
      <c r="AS60" s="114">
        <f t="shared" si="74"/>
        <v>0</v>
      </c>
      <c r="AT60" s="37"/>
    </row>
    <row r="61" spans="1:46" s="35" customFormat="1" ht="10.5" x14ac:dyDescent="0.35">
      <c r="A61" s="60" t="str">
        <f>'Обобщенный расчет'!B54</f>
        <v>Местная реклама (буклеты, печатная продукция и т.д.)</v>
      </c>
      <c r="B61" s="21" t="str">
        <f>CHOOSE('Исходные данные'!$O$2,'Исходные данные'!$P$2,'Исходные данные'!$P$3,'Исходные данные'!$P$4,'Исходные данные'!$P$5)</f>
        <v>UAH</v>
      </c>
      <c r="C61" s="33">
        <f>'Обобщенный расчет'!$G$54</f>
        <v>0</v>
      </c>
      <c r="D61" s="33">
        <f>'Обобщенный расчет'!$G$54</f>
        <v>0</v>
      </c>
      <c r="E61" s="33">
        <f>'Обобщенный расчет'!$G$54</f>
        <v>0</v>
      </c>
      <c r="F61" s="33">
        <f>'Обобщенный расчет'!$G$54</f>
        <v>0</v>
      </c>
      <c r="G61" s="33">
        <f>'Обобщенный расчет'!$G$54</f>
        <v>0</v>
      </c>
      <c r="H61" s="33">
        <f>'Обобщенный расчет'!$G$54</f>
        <v>0</v>
      </c>
      <c r="I61" s="33">
        <f>'Обобщенный расчет'!$G$54</f>
        <v>0</v>
      </c>
      <c r="J61" s="33">
        <f>'Обобщенный расчет'!$G$54</f>
        <v>0</v>
      </c>
      <c r="K61" s="33">
        <f>'Обобщенный расчет'!$G$54</f>
        <v>0</v>
      </c>
      <c r="L61" s="33">
        <f>'Обобщенный расчет'!$G$54</f>
        <v>0</v>
      </c>
      <c r="M61" s="33">
        <f>'Обобщенный расчет'!$G$54</f>
        <v>0</v>
      </c>
      <c r="N61" s="33">
        <f>'Обобщенный расчет'!$G$54</f>
        <v>0</v>
      </c>
      <c r="O61" s="107">
        <f>SUM(C61:N61)</f>
        <v>0</v>
      </c>
      <c r="P61" s="107">
        <f>O61/12</f>
        <v>0</v>
      </c>
      <c r="Q61" s="33">
        <f>'Обобщенный расчет'!$G$54</f>
        <v>0</v>
      </c>
      <c r="R61" s="33">
        <f>'Обобщенный расчет'!$G$54</f>
        <v>0</v>
      </c>
      <c r="S61" s="33">
        <f>'Обобщенный расчет'!$G$54</f>
        <v>0</v>
      </c>
      <c r="T61" s="33">
        <f>'Обобщенный расчет'!$G$54</f>
        <v>0</v>
      </c>
      <c r="U61" s="33">
        <f>'Обобщенный расчет'!$G$54</f>
        <v>0</v>
      </c>
      <c r="V61" s="33">
        <f>'Обобщенный расчет'!$G$54</f>
        <v>0</v>
      </c>
      <c r="W61" s="33">
        <f>'Обобщенный расчет'!$G$54</f>
        <v>0</v>
      </c>
      <c r="X61" s="33">
        <f>'Обобщенный расчет'!$G$54</f>
        <v>0</v>
      </c>
      <c r="Y61" s="33">
        <f>'Обобщенный расчет'!$G$54</f>
        <v>0</v>
      </c>
      <c r="Z61" s="33">
        <f>'Обобщенный расчет'!$G$54</f>
        <v>0</v>
      </c>
      <c r="AA61" s="33">
        <f>'Обобщенный расчет'!$G$54</f>
        <v>0</v>
      </c>
      <c r="AB61" s="33">
        <f>'Обобщенный расчет'!$G$54</f>
        <v>0</v>
      </c>
      <c r="AC61" s="107">
        <f>SUM(Q61:AB61)</f>
        <v>0</v>
      </c>
      <c r="AD61" s="107">
        <f>AC61/12</f>
        <v>0</v>
      </c>
      <c r="AE61" s="33">
        <f>'Обобщенный расчет'!$G$54</f>
        <v>0</v>
      </c>
      <c r="AF61" s="33">
        <f>'Обобщенный расчет'!$G$54</f>
        <v>0</v>
      </c>
      <c r="AG61" s="33">
        <f>'Обобщенный расчет'!$G$54</f>
        <v>0</v>
      </c>
      <c r="AH61" s="33">
        <f>'Обобщенный расчет'!$G$54</f>
        <v>0</v>
      </c>
      <c r="AI61" s="33">
        <f>'Обобщенный расчет'!$G$54</f>
        <v>0</v>
      </c>
      <c r="AJ61" s="33">
        <f>'Обобщенный расчет'!$G$54</f>
        <v>0</v>
      </c>
      <c r="AK61" s="33">
        <f>'Обобщенный расчет'!$G$54</f>
        <v>0</v>
      </c>
      <c r="AL61" s="33">
        <f>'Обобщенный расчет'!$G$54</f>
        <v>0</v>
      </c>
      <c r="AM61" s="33">
        <f>'Обобщенный расчет'!$G$54</f>
        <v>0</v>
      </c>
      <c r="AN61" s="33">
        <f>'Обобщенный расчет'!$G$54</f>
        <v>0</v>
      </c>
      <c r="AO61" s="33">
        <f>'Обобщенный расчет'!$G$54</f>
        <v>0</v>
      </c>
      <c r="AP61" s="33">
        <f>'Обобщенный расчет'!$G$54</f>
        <v>0</v>
      </c>
      <c r="AQ61" s="107">
        <f>SUM(AE61:AP61)</f>
        <v>0</v>
      </c>
      <c r="AR61" s="107">
        <f>AQ61/12</f>
        <v>0</v>
      </c>
      <c r="AS61" s="114">
        <f>O61+AC61+AQ61</f>
        <v>0</v>
      </c>
      <c r="AT61" s="34"/>
    </row>
    <row r="62" spans="1:46" s="38" customFormat="1" ht="10.5" x14ac:dyDescent="0.35">
      <c r="A62" s="61" t="str">
        <f>'Обобщенный расчет'!B55</f>
        <v>Прочее</v>
      </c>
      <c r="B62" s="24" t="str">
        <f>CHOOSE('Исходные данные'!$O$2,'Исходные данные'!$P$2,'Исходные данные'!$P$3,'Исходные данные'!$P$4,'Исходные данные'!$P$5)</f>
        <v>UAH</v>
      </c>
      <c r="C62" s="36">
        <f>'Обобщенный расчет'!$G$55</f>
        <v>0</v>
      </c>
      <c r="D62" s="36">
        <f>'Обобщенный расчет'!$G$55</f>
        <v>0</v>
      </c>
      <c r="E62" s="36">
        <f>'Обобщенный расчет'!$G$55</f>
        <v>0</v>
      </c>
      <c r="F62" s="36">
        <f>'Обобщенный расчет'!$G$55</f>
        <v>0</v>
      </c>
      <c r="G62" s="36">
        <f>'Обобщенный расчет'!$G$55</f>
        <v>0</v>
      </c>
      <c r="H62" s="36">
        <f>'Обобщенный расчет'!$G$55</f>
        <v>0</v>
      </c>
      <c r="I62" s="36">
        <f>'Обобщенный расчет'!$G$55</f>
        <v>0</v>
      </c>
      <c r="J62" s="36">
        <f>'Обобщенный расчет'!$G$55</f>
        <v>0</v>
      </c>
      <c r="K62" s="36">
        <f>'Обобщенный расчет'!$G$55</f>
        <v>0</v>
      </c>
      <c r="L62" s="36">
        <f>'Обобщенный расчет'!$G$55</f>
        <v>0</v>
      </c>
      <c r="M62" s="36">
        <f>'Обобщенный расчет'!$G$55</f>
        <v>0</v>
      </c>
      <c r="N62" s="36">
        <f>'Обобщенный расчет'!$G$55</f>
        <v>0</v>
      </c>
      <c r="O62" s="52">
        <f>SUM(C62:N62)</f>
        <v>0</v>
      </c>
      <c r="P62" s="52">
        <f>O62/12</f>
        <v>0</v>
      </c>
      <c r="Q62" s="36">
        <f>'Обобщенный расчет'!$G$55</f>
        <v>0</v>
      </c>
      <c r="R62" s="36">
        <f>'Обобщенный расчет'!$G$55</f>
        <v>0</v>
      </c>
      <c r="S62" s="36">
        <f>'Обобщенный расчет'!$G$55</f>
        <v>0</v>
      </c>
      <c r="T62" s="36">
        <f>'Обобщенный расчет'!$G$55</f>
        <v>0</v>
      </c>
      <c r="U62" s="36">
        <f>'Обобщенный расчет'!$G$55</f>
        <v>0</v>
      </c>
      <c r="V62" s="36">
        <f>'Обобщенный расчет'!$G$55</f>
        <v>0</v>
      </c>
      <c r="W62" s="36">
        <f>'Обобщенный расчет'!$G$55</f>
        <v>0</v>
      </c>
      <c r="X62" s="36">
        <f>'Обобщенный расчет'!$G$55</f>
        <v>0</v>
      </c>
      <c r="Y62" s="36">
        <f>'Обобщенный расчет'!$G$55</f>
        <v>0</v>
      </c>
      <c r="Z62" s="36">
        <f>'Обобщенный расчет'!$G$55</f>
        <v>0</v>
      </c>
      <c r="AA62" s="36">
        <f>'Обобщенный расчет'!$G$55</f>
        <v>0</v>
      </c>
      <c r="AB62" s="36">
        <f>'Обобщенный расчет'!$G$55</f>
        <v>0</v>
      </c>
      <c r="AC62" s="52">
        <f>SUM(Q62:AB62)</f>
        <v>0</v>
      </c>
      <c r="AD62" s="52">
        <f>AC62/12</f>
        <v>0</v>
      </c>
      <c r="AE62" s="36">
        <f>'Обобщенный расчет'!$G$55</f>
        <v>0</v>
      </c>
      <c r="AF62" s="36">
        <f>'Обобщенный расчет'!$G$55</f>
        <v>0</v>
      </c>
      <c r="AG62" s="36">
        <f>'Обобщенный расчет'!$G$55</f>
        <v>0</v>
      </c>
      <c r="AH62" s="36">
        <f>'Обобщенный расчет'!$G$55</f>
        <v>0</v>
      </c>
      <c r="AI62" s="36">
        <f>'Обобщенный расчет'!$G$55</f>
        <v>0</v>
      </c>
      <c r="AJ62" s="36">
        <f>'Обобщенный расчет'!$G$55</f>
        <v>0</v>
      </c>
      <c r="AK62" s="36">
        <f>'Обобщенный расчет'!$G$55</f>
        <v>0</v>
      </c>
      <c r="AL62" s="36">
        <f>'Обобщенный расчет'!$G$55</f>
        <v>0</v>
      </c>
      <c r="AM62" s="36">
        <f>'Обобщенный расчет'!$G$55</f>
        <v>0</v>
      </c>
      <c r="AN62" s="36">
        <f>'Обобщенный расчет'!$G$55</f>
        <v>0</v>
      </c>
      <c r="AO62" s="36">
        <f>'Обобщенный расчет'!$G$55</f>
        <v>0</v>
      </c>
      <c r="AP62" s="36">
        <f>'Обобщенный расчет'!$G$55</f>
        <v>0</v>
      </c>
      <c r="AQ62" s="52">
        <f>SUM(AE62:AP62)</f>
        <v>0</v>
      </c>
      <c r="AR62" s="52">
        <f>AQ62/12</f>
        <v>0</v>
      </c>
      <c r="AS62" s="114">
        <f>O62+AC62+AQ62</f>
        <v>0</v>
      </c>
      <c r="AT62" s="37"/>
    </row>
    <row r="63" spans="1:46" s="63" customFormat="1" ht="10.5" x14ac:dyDescent="0.35">
      <c r="A63" s="135" t="s">
        <v>9</v>
      </c>
      <c r="B63" s="136" t="str">
        <f>CHOOSE('Исходные данные'!$O$2,'Исходные данные'!$P$2,'Исходные данные'!$P$3,'Исходные данные'!$P$4,'Исходные данные'!$P$5)</f>
        <v>UAH</v>
      </c>
      <c r="C63" s="137">
        <f t="shared" ref="C63:AS63" si="75">SUM(C46:C62)</f>
        <v>100914.8</v>
      </c>
      <c r="D63" s="137">
        <f t="shared" si="75"/>
        <v>101077.9</v>
      </c>
      <c r="E63" s="137">
        <f t="shared" si="75"/>
        <v>104666.1</v>
      </c>
      <c r="F63" s="137">
        <f t="shared" si="75"/>
        <v>101730.3</v>
      </c>
      <c r="G63" s="137">
        <f t="shared" si="75"/>
        <v>101241</v>
      </c>
      <c r="H63" s="137">
        <f t="shared" si="75"/>
        <v>98305.2</v>
      </c>
      <c r="I63" s="137">
        <f t="shared" si="75"/>
        <v>98468.3</v>
      </c>
      <c r="J63" s="137">
        <f t="shared" si="75"/>
        <v>97163.5</v>
      </c>
      <c r="K63" s="137">
        <f t="shared" si="75"/>
        <v>99936.2</v>
      </c>
      <c r="L63" s="137">
        <f t="shared" si="75"/>
        <v>97489.7</v>
      </c>
      <c r="M63" s="137">
        <f t="shared" si="75"/>
        <v>97979</v>
      </c>
      <c r="N63" s="137">
        <f t="shared" si="75"/>
        <v>96348</v>
      </c>
      <c r="O63" s="137">
        <f t="shared" si="75"/>
        <v>1195320</v>
      </c>
      <c r="P63" s="137">
        <f t="shared" si="75"/>
        <v>99610</v>
      </c>
      <c r="Q63" s="137">
        <f t="shared" si="75"/>
        <v>109567.76000000001</v>
      </c>
      <c r="R63" s="137">
        <f t="shared" si="75"/>
        <v>109763.48000000001</v>
      </c>
      <c r="S63" s="137">
        <f t="shared" si="75"/>
        <v>114069.32</v>
      </c>
      <c r="T63" s="137">
        <f t="shared" si="75"/>
        <v>110546.36</v>
      </c>
      <c r="U63" s="137">
        <f t="shared" si="75"/>
        <v>109959.2</v>
      </c>
      <c r="V63" s="137">
        <f t="shared" si="75"/>
        <v>106436.24</v>
      </c>
      <c r="W63" s="137">
        <f t="shared" si="75"/>
        <v>106631.96</v>
      </c>
      <c r="X63" s="137">
        <f t="shared" si="75"/>
        <v>105066.2</v>
      </c>
      <c r="Y63" s="137">
        <f t="shared" si="75"/>
        <v>108393.44</v>
      </c>
      <c r="Z63" s="137">
        <f t="shared" si="75"/>
        <v>105457.64</v>
      </c>
      <c r="AA63" s="137">
        <f t="shared" si="75"/>
        <v>106044.8</v>
      </c>
      <c r="AB63" s="137">
        <f t="shared" si="75"/>
        <v>104087.6</v>
      </c>
      <c r="AC63" s="137">
        <f t="shared" si="75"/>
        <v>1296024</v>
      </c>
      <c r="AD63" s="137">
        <f t="shared" si="75"/>
        <v>108002</v>
      </c>
      <c r="AE63" s="137">
        <f t="shared" si="75"/>
        <v>118220.72</v>
      </c>
      <c r="AF63" s="137">
        <f t="shared" si="75"/>
        <v>118449.06</v>
      </c>
      <c r="AG63" s="137">
        <f t="shared" si="75"/>
        <v>123472.54</v>
      </c>
      <c r="AH63" s="137">
        <f t="shared" si="75"/>
        <v>119362.42</v>
      </c>
      <c r="AI63" s="137">
        <f t="shared" si="75"/>
        <v>118677.4</v>
      </c>
      <c r="AJ63" s="137">
        <f t="shared" si="75"/>
        <v>114567.28</v>
      </c>
      <c r="AK63" s="137">
        <f t="shared" si="75"/>
        <v>114795.62</v>
      </c>
      <c r="AL63" s="137">
        <f t="shared" si="75"/>
        <v>112968.9</v>
      </c>
      <c r="AM63" s="137">
        <f t="shared" si="75"/>
        <v>116850.68000000001</v>
      </c>
      <c r="AN63" s="137">
        <f t="shared" si="75"/>
        <v>113425.58</v>
      </c>
      <c r="AO63" s="137">
        <f t="shared" si="75"/>
        <v>114110.6</v>
      </c>
      <c r="AP63" s="137">
        <f t="shared" si="75"/>
        <v>111827.2</v>
      </c>
      <c r="AQ63" s="137">
        <f t="shared" si="75"/>
        <v>1396728</v>
      </c>
      <c r="AR63" s="137">
        <f t="shared" si="75"/>
        <v>116394</v>
      </c>
      <c r="AS63" s="137">
        <f t="shared" si="75"/>
        <v>3888072</v>
      </c>
    </row>
    <row r="64" spans="1:46" s="13" customFormat="1" ht="10.8" thickBot="1" x14ac:dyDescent="0.4">
      <c r="A64" s="40"/>
      <c r="B64" s="39"/>
      <c r="C64" s="42"/>
      <c r="D64" s="42"/>
      <c r="E64" s="42"/>
      <c r="F64" s="42"/>
      <c r="G64" s="42"/>
      <c r="H64" s="42"/>
      <c r="I64" s="40"/>
      <c r="J64" s="40"/>
      <c r="K64" s="40"/>
      <c r="L64" s="40"/>
      <c r="M64" s="40"/>
      <c r="N64" s="40"/>
      <c r="O64" s="110"/>
      <c r="P64" s="110"/>
      <c r="Q64" s="42"/>
      <c r="R64" s="42"/>
      <c r="S64" s="42"/>
      <c r="T64" s="42"/>
      <c r="U64" s="42"/>
      <c r="V64" s="42"/>
      <c r="W64" s="40"/>
      <c r="X64" s="40"/>
      <c r="Y64" s="40"/>
      <c r="Z64" s="40"/>
      <c r="AA64" s="40"/>
      <c r="AB64" s="40"/>
      <c r="AC64" s="110"/>
      <c r="AD64" s="110"/>
      <c r="AE64" s="42"/>
      <c r="AF64" s="42"/>
      <c r="AG64" s="42"/>
      <c r="AH64" s="42"/>
      <c r="AI64" s="42"/>
      <c r="AJ64" s="42"/>
      <c r="AK64" s="40"/>
      <c r="AL64" s="40"/>
      <c r="AM64" s="40"/>
      <c r="AN64" s="40"/>
      <c r="AO64" s="40"/>
      <c r="AP64" s="40"/>
      <c r="AQ64" s="110"/>
      <c r="AR64" s="110"/>
      <c r="AS64" s="40"/>
    </row>
    <row r="65" spans="1:45" s="20" customFormat="1" ht="21.6" thickTop="1" thickBot="1" x14ac:dyDescent="0.4">
      <c r="A65" s="18" t="s">
        <v>10</v>
      </c>
      <c r="B65" s="19"/>
      <c r="C65" s="19" t="str">
        <f t="shared" ref="C65:N65" si="76">C$6</f>
        <v>январь</v>
      </c>
      <c r="D65" s="19" t="str">
        <f t="shared" si="76"/>
        <v>февраль</v>
      </c>
      <c r="E65" s="19" t="str">
        <f t="shared" si="76"/>
        <v>март</v>
      </c>
      <c r="F65" s="19" t="str">
        <f t="shared" si="76"/>
        <v>апрель</v>
      </c>
      <c r="G65" s="19" t="str">
        <f t="shared" si="76"/>
        <v>май</v>
      </c>
      <c r="H65" s="19" t="str">
        <f t="shared" si="76"/>
        <v>июнь</v>
      </c>
      <c r="I65" s="19" t="str">
        <f t="shared" si="76"/>
        <v>июль</v>
      </c>
      <c r="J65" s="19" t="str">
        <f t="shared" si="76"/>
        <v>август</v>
      </c>
      <c r="K65" s="19" t="str">
        <f t="shared" si="76"/>
        <v>сентябрь</v>
      </c>
      <c r="L65" s="19" t="str">
        <f t="shared" si="76"/>
        <v>октябрь</v>
      </c>
      <c r="M65" s="19" t="str">
        <f t="shared" si="76"/>
        <v>ноябрь</v>
      </c>
      <c r="N65" s="19" t="str">
        <f t="shared" si="76"/>
        <v>декабрь</v>
      </c>
      <c r="O65" s="108" t="str">
        <f>$O$16</f>
        <v>Итого за 1-й год</v>
      </c>
      <c r="P65" s="108" t="str">
        <f>$P$16</f>
        <v>Среднемесячно за 1-й год</v>
      </c>
      <c r="Q65" s="19" t="str">
        <f t="shared" ref="Q65:AB65" si="77">Q$6</f>
        <v>январь</v>
      </c>
      <c r="R65" s="19" t="str">
        <f t="shared" si="77"/>
        <v>февраль</v>
      </c>
      <c r="S65" s="19" t="str">
        <f t="shared" si="77"/>
        <v>март</v>
      </c>
      <c r="T65" s="19" t="str">
        <f t="shared" si="77"/>
        <v>апрель</v>
      </c>
      <c r="U65" s="19" t="str">
        <f t="shared" si="77"/>
        <v>май</v>
      </c>
      <c r="V65" s="19" t="str">
        <f t="shared" si="77"/>
        <v>июнь</v>
      </c>
      <c r="W65" s="19" t="str">
        <f t="shared" si="77"/>
        <v>июль</v>
      </c>
      <c r="X65" s="19" t="str">
        <f t="shared" si="77"/>
        <v>август</v>
      </c>
      <c r="Y65" s="19" t="str">
        <f t="shared" si="77"/>
        <v>сентябрь</v>
      </c>
      <c r="Z65" s="19" t="str">
        <f t="shared" si="77"/>
        <v>октябрь</v>
      </c>
      <c r="AA65" s="19" t="str">
        <f t="shared" si="77"/>
        <v>ноябрь</v>
      </c>
      <c r="AB65" s="19" t="str">
        <f t="shared" si="77"/>
        <v>декабрь</v>
      </c>
      <c r="AC65" s="108" t="str">
        <f>AC41</f>
        <v>Итого за 2-й год</v>
      </c>
      <c r="AD65" s="108" t="str">
        <f>AD41</f>
        <v>Среднемесячно за 2-й год</v>
      </c>
      <c r="AE65" s="19" t="str">
        <f t="shared" ref="AE65:AP65" si="78">AE$6</f>
        <v>январь</v>
      </c>
      <c r="AF65" s="19" t="str">
        <f t="shared" si="78"/>
        <v>февраль</v>
      </c>
      <c r="AG65" s="19" t="str">
        <f t="shared" si="78"/>
        <v>март</v>
      </c>
      <c r="AH65" s="19" t="str">
        <f t="shared" si="78"/>
        <v>апрель</v>
      </c>
      <c r="AI65" s="19" t="str">
        <f t="shared" si="78"/>
        <v>май</v>
      </c>
      <c r="AJ65" s="19" t="str">
        <f t="shared" si="78"/>
        <v>июнь</v>
      </c>
      <c r="AK65" s="19" t="str">
        <f t="shared" si="78"/>
        <v>июль</v>
      </c>
      <c r="AL65" s="19" t="str">
        <f t="shared" si="78"/>
        <v>август</v>
      </c>
      <c r="AM65" s="19" t="str">
        <f t="shared" si="78"/>
        <v>сентябрь</v>
      </c>
      <c r="AN65" s="19" t="str">
        <f t="shared" si="78"/>
        <v>октябрь</v>
      </c>
      <c r="AO65" s="19" t="str">
        <f t="shared" si="78"/>
        <v>ноябрь</v>
      </c>
      <c r="AP65" s="19" t="str">
        <f t="shared" si="78"/>
        <v>декабрь</v>
      </c>
      <c r="AQ65" s="108" t="str">
        <f>AQ41</f>
        <v>Итого за 3-й год</v>
      </c>
      <c r="AR65" s="108" t="str">
        <f>AR41</f>
        <v>Среднемесячно за 3-й год</v>
      </c>
      <c r="AS65" s="117" t="str">
        <f>AS41</f>
        <v>Итого за три года</v>
      </c>
    </row>
    <row r="66" spans="1:45" s="20" customFormat="1" ht="10.8" thickTop="1" x14ac:dyDescent="0.35">
      <c r="A66" s="43" t="s">
        <v>11</v>
      </c>
      <c r="B66" s="24" t="str">
        <f>CHOOSE('Исходные данные'!$O$2,'Исходные данные'!$P$2,'Исходные данные'!$P$3,'Исходные данные'!$P$4,'Исходные данные'!$P$5)</f>
        <v>UAH</v>
      </c>
      <c r="C66" s="129">
        <f t="shared" ref="C66:N66" si="79">C24</f>
        <v>176148</v>
      </c>
      <c r="D66" s="129">
        <f t="shared" si="79"/>
        <v>177779</v>
      </c>
      <c r="E66" s="129">
        <f t="shared" si="79"/>
        <v>213661</v>
      </c>
      <c r="F66" s="129">
        <f t="shared" si="79"/>
        <v>184303</v>
      </c>
      <c r="G66" s="129">
        <f t="shared" si="79"/>
        <v>179410</v>
      </c>
      <c r="H66" s="129">
        <f t="shared" si="79"/>
        <v>150052</v>
      </c>
      <c r="I66" s="129">
        <f t="shared" si="79"/>
        <v>151683</v>
      </c>
      <c r="J66" s="129">
        <f t="shared" si="79"/>
        <v>138635</v>
      </c>
      <c r="K66" s="129">
        <f t="shared" si="79"/>
        <v>166362</v>
      </c>
      <c r="L66" s="129">
        <f t="shared" si="79"/>
        <v>141897</v>
      </c>
      <c r="M66" s="129">
        <f t="shared" si="79"/>
        <v>146790</v>
      </c>
      <c r="N66" s="129">
        <f t="shared" si="79"/>
        <v>130480</v>
      </c>
      <c r="O66" s="130">
        <f t="shared" ref="O66:O72" si="80">SUM(C66:N66)</f>
        <v>1957200</v>
      </c>
      <c r="P66" s="130">
        <f t="shared" ref="P66:P72" si="81">O66/12</f>
        <v>163100</v>
      </c>
      <c r="Q66" s="129">
        <f t="shared" ref="Q66:AB66" si="82">Q24</f>
        <v>211377.60000000003</v>
      </c>
      <c r="R66" s="129">
        <f t="shared" si="82"/>
        <v>213334.80000000002</v>
      </c>
      <c r="S66" s="129">
        <f t="shared" si="82"/>
        <v>256393.19999999998</v>
      </c>
      <c r="T66" s="129">
        <f t="shared" si="82"/>
        <v>221163.59999999998</v>
      </c>
      <c r="U66" s="129">
        <f t="shared" si="82"/>
        <v>215292</v>
      </c>
      <c r="V66" s="129">
        <f t="shared" si="82"/>
        <v>180062.40000000002</v>
      </c>
      <c r="W66" s="129">
        <f t="shared" si="82"/>
        <v>182019.60000000003</v>
      </c>
      <c r="X66" s="129">
        <f t="shared" si="82"/>
        <v>166362</v>
      </c>
      <c r="Y66" s="129">
        <f t="shared" si="82"/>
        <v>199634.4</v>
      </c>
      <c r="Z66" s="129">
        <f t="shared" si="82"/>
        <v>170276.4</v>
      </c>
      <c r="AA66" s="129">
        <f t="shared" si="82"/>
        <v>176148</v>
      </c>
      <c r="AB66" s="129">
        <f t="shared" si="82"/>
        <v>156576</v>
      </c>
      <c r="AC66" s="130">
        <f t="shared" ref="AC66:AC72" si="83">SUM(Q66:AB66)</f>
        <v>2348640</v>
      </c>
      <c r="AD66" s="130">
        <f t="shared" ref="AD66:AD72" si="84">AC66/12</f>
        <v>195720</v>
      </c>
      <c r="AE66" s="129">
        <f t="shared" ref="AE66:AP66" si="85">AE24</f>
        <v>246607.19999999998</v>
      </c>
      <c r="AF66" s="129">
        <f t="shared" si="85"/>
        <v>248890.60000000003</v>
      </c>
      <c r="AG66" s="129">
        <f t="shared" si="85"/>
        <v>299125.39999999997</v>
      </c>
      <c r="AH66" s="129">
        <f t="shared" si="85"/>
        <v>258024.19999999998</v>
      </c>
      <c r="AI66" s="129">
        <f t="shared" si="85"/>
        <v>251174</v>
      </c>
      <c r="AJ66" s="129">
        <f t="shared" si="85"/>
        <v>210072.80000000002</v>
      </c>
      <c r="AK66" s="129">
        <f t="shared" si="85"/>
        <v>212356.19999999998</v>
      </c>
      <c r="AL66" s="129">
        <f t="shared" si="85"/>
        <v>194089</v>
      </c>
      <c r="AM66" s="129">
        <f t="shared" si="85"/>
        <v>232906.80000000002</v>
      </c>
      <c r="AN66" s="129">
        <f t="shared" si="85"/>
        <v>198655.80000000002</v>
      </c>
      <c r="AO66" s="129">
        <f t="shared" si="85"/>
        <v>205506</v>
      </c>
      <c r="AP66" s="129">
        <f t="shared" si="85"/>
        <v>182672</v>
      </c>
      <c r="AQ66" s="130">
        <f t="shared" ref="AQ66:AQ72" si="86">SUM(AE66:AP66)</f>
        <v>2740079.9999999995</v>
      </c>
      <c r="AR66" s="130">
        <f t="shared" ref="AR66:AR72" si="87">AQ66/12</f>
        <v>228339.99999999997</v>
      </c>
      <c r="AS66" s="131">
        <f t="shared" ref="AS66:AS71" si="88">O66+AC66+AQ66</f>
        <v>7045920</v>
      </c>
    </row>
    <row r="67" spans="1:45" s="20" customFormat="1" ht="10.5" x14ac:dyDescent="0.35">
      <c r="A67" s="23" t="str">
        <f>"- Себестоимость"</f>
        <v>- Себестоимость</v>
      </c>
      <c r="B67" s="24" t="str">
        <f>CHOOSE('Исходные данные'!$O$2,'Исходные данные'!$P$2,'Исходные данные'!$P$3,'Исходные данные'!$P$4,'Исходные данные'!$P$5)</f>
        <v>UAH</v>
      </c>
      <c r="C67" s="129">
        <f t="shared" ref="C67:N67" si="89">C28</f>
        <v>23142.857142857149</v>
      </c>
      <c r="D67" s="129">
        <f t="shared" si="89"/>
        <v>23357.142857142862</v>
      </c>
      <c r="E67" s="129">
        <f t="shared" si="89"/>
        <v>28071.428571428572</v>
      </c>
      <c r="F67" s="129">
        <f t="shared" si="89"/>
        <v>24214.285714285717</v>
      </c>
      <c r="G67" s="129">
        <f t="shared" si="89"/>
        <v>23571.428571428572</v>
      </c>
      <c r="H67" s="129">
        <f t="shared" si="89"/>
        <v>19714.285714285714</v>
      </c>
      <c r="I67" s="129">
        <f t="shared" si="89"/>
        <v>19928.571428571431</v>
      </c>
      <c r="J67" s="129">
        <f t="shared" si="89"/>
        <v>18214.285714285714</v>
      </c>
      <c r="K67" s="129">
        <f t="shared" si="89"/>
        <v>21857.142857142859</v>
      </c>
      <c r="L67" s="129">
        <f t="shared" si="89"/>
        <v>18642.857142857145</v>
      </c>
      <c r="M67" s="129">
        <f t="shared" si="89"/>
        <v>19285.714285714286</v>
      </c>
      <c r="N67" s="129">
        <f t="shared" si="89"/>
        <v>17142.857142857145</v>
      </c>
      <c r="O67" s="130">
        <f t="shared" si="80"/>
        <v>257142.85714285716</v>
      </c>
      <c r="P67" s="130">
        <f t="shared" si="81"/>
        <v>21428.571428571431</v>
      </c>
      <c r="Q67" s="129">
        <f t="shared" ref="Q67:AB67" si="90">Q28</f>
        <v>27771.428571428572</v>
      </c>
      <c r="R67" s="129">
        <f t="shared" si="90"/>
        <v>28028.571428571431</v>
      </c>
      <c r="S67" s="129">
        <f t="shared" si="90"/>
        <v>33685.71428571429</v>
      </c>
      <c r="T67" s="129">
        <f t="shared" si="90"/>
        <v>29057.142857142855</v>
      </c>
      <c r="U67" s="129">
        <f t="shared" si="90"/>
        <v>28285.714285714286</v>
      </c>
      <c r="V67" s="129">
        <f t="shared" si="90"/>
        <v>23657.142857142859</v>
      </c>
      <c r="W67" s="129">
        <f t="shared" si="90"/>
        <v>23914.285714285717</v>
      </c>
      <c r="X67" s="129">
        <f t="shared" si="90"/>
        <v>21857.142857142859</v>
      </c>
      <c r="Y67" s="129">
        <f t="shared" si="90"/>
        <v>26228.571428571431</v>
      </c>
      <c r="Z67" s="129">
        <f t="shared" si="90"/>
        <v>22371.428571428572</v>
      </c>
      <c r="AA67" s="129">
        <f t="shared" si="90"/>
        <v>23142.857142857149</v>
      </c>
      <c r="AB67" s="129">
        <f t="shared" si="90"/>
        <v>20571.428571428572</v>
      </c>
      <c r="AC67" s="130">
        <f t="shared" si="83"/>
        <v>308571.42857142858</v>
      </c>
      <c r="AD67" s="130">
        <f t="shared" si="84"/>
        <v>25714.285714285714</v>
      </c>
      <c r="AE67" s="129">
        <f t="shared" ref="AE67:AP67" si="91">AE28</f>
        <v>32400.000000000004</v>
      </c>
      <c r="AF67" s="129">
        <f t="shared" si="91"/>
        <v>32700.000000000004</v>
      </c>
      <c r="AG67" s="129">
        <f t="shared" si="91"/>
        <v>39300</v>
      </c>
      <c r="AH67" s="129">
        <f t="shared" si="91"/>
        <v>33900</v>
      </c>
      <c r="AI67" s="129">
        <f t="shared" si="91"/>
        <v>33000</v>
      </c>
      <c r="AJ67" s="129">
        <f t="shared" si="91"/>
        <v>27600</v>
      </c>
      <c r="AK67" s="129">
        <f t="shared" si="91"/>
        <v>27900</v>
      </c>
      <c r="AL67" s="129">
        <f t="shared" si="91"/>
        <v>25500</v>
      </c>
      <c r="AM67" s="129">
        <f t="shared" si="91"/>
        <v>30600.000000000004</v>
      </c>
      <c r="AN67" s="129">
        <f t="shared" si="91"/>
        <v>26100</v>
      </c>
      <c r="AO67" s="129">
        <f t="shared" si="91"/>
        <v>27000</v>
      </c>
      <c r="AP67" s="129">
        <f t="shared" si="91"/>
        <v>24000</v>
      </c>
      <c r="AQ67" s="130">
        <f t="shared" si="86"/>
        <v>360000</v>
      </c>
      <c r="AR67" s="130">
        <f t="shared" si="87"/>
        <v>30000</v>
      </c>
      <c r="AS67" s="131">
        <f t="shared" si="88"/>
        <v>925714.28571428568</v>
      </c>
    </row>
    <row r="68" spans="1:45" s="20" customFormat="1" ht="10.5" x14ac:dyDescent="0.35">
      <c r="A68" s="43" t="s">
        <v>12</v>
      </c>
      <c r="B68" s="24" t="str">
        <f>CHOOSE('Исходные данные'!$O$2,'Исходные данные'!$P$2,'Исходные данные'!$P$3,'Исходные данные'!$P$4,'Исходные данные'!$P$5)</f>
        <v>UAH</v>
      </c>
      <c r="C68" s="129">
        <f>C66-C67</f>
        <v>153005.14285714284</v>
      </c>
      <c r="D68" s="129">
        <f t="shared" ref="D68:N68" si="92">D66-D67</f>
        <v>154421.85714285713</v>
      </c>
      <c r="E68" s="129">
        <f t="shared" si="92"/>
        <v>185589.57142857142</v>
      </c>
      <c r="F68" s="129">
        <f t="shared" si="92"/>
        <v>160088.71428571429</v>
      </c>
      <c r="G68" s="129">
        <f t="shared" si="92"/>
        <v>155838.57142857142</v>
      </c>
      <c r="H68" s="129">
        <f t="shared" si="92"/>
        <v>130337.71428571429</v>
      </c>
      <c r="I68" s="129">
        <f t="shared" si="92"/>
        <v>131754.42857142858</v>
      </c>
      <c r="J68" s="129">
        <f t="shared" si="92"/>
        <v>120420.71428571429</v>
      </c>
      <c r="K68" s="129">
        <f t="shared" si="92"/>
        <v>144504.85714285713</v>
      </c>
      <c r="L68" s="129">
        <f t="shared" si="92"/>
        <v>123254.14285714286</v>
      </c>
      <c r="M68" s="129">
        <f t="shared" si="92"/>
        <v>127504.28571428571</v>
      </c>
      <c r="N68" s="129">
        <f t="shared" si="92"/>
        <v>113337.14285714286</v>
      </c>
      <c r="O68" s="130">
        <f t="shared" si="80"/>
        <v>1700057.142857143</v>
      </c>
      <c r="P68" s="130">
        <f t="shared" si="81"/>
        <v>141671.42857142858</v>
      </c>
      <c r="Q68" s="129">
        <f>Q66-Q67</f>
        <v>183606.17142857146</v>
      </c>
      <c r="R68" s="129">
        <f t="shared" ref="R68:AB68" si="93">R66-R67</f>
        <v>185306.2285714286</v>
      </c>
      <c r="S68" s="129">
        <f t="shared" si="93"/>
        <v>222707.48571428569</v>
      </c>
      <c r="T68" s="129">
        <f t="shared" si="93"/>
        <v>192106.45714285714</v>
      </c>
      <c r="U68" s="129">
        <f t="shared" si="93"/>
        <v>187006.28571428571</v>
      </c>
      <c r="V68" s="129">
        <f t="shared" si="93"/>
        <v>156405.25714285715</v>
      </c>
      <c r="W68" s="129">
        <f t="shared" si="93"/>
        <v>158105.31428571432</v>
      </c>
      <c r="X68" s="129">
        <f t="shared" si="93"/>
        <v>144504.85714285713</v>
      </c>
      <c r="Y68" s="129">
        <f t="shared" si="93"/>
        <v>173405.82857142857</v>
      </c>
      <c r="Z68" s="129">
        <f t="shared" si="93"/>
        <v>147904.97142857141</v>
      </c>
      <c r="AA68" s="129">
        <f t="shared" si="93"/>
        <v>153005.14285714284</v>
      </c>
      <c r="AB68" s="129">
        <f t="shared" si="93"/>
        <v>136004.57142857142</v>
      </c>
      <c r="AC68" s="130">
        <f t="shared" si="83"/>
        <v>2040068.5714285714</v>
      </c>
      <c r="AD68" s="130">
        <f t="shared" si="84"/>
        <v>170005.71428571429</v>
      </c>
      <c r="AE68" s="129">
        <f>AE66-AE67</f>
        <v>214207.19999999998</v>
      </c>
      <c r="AF68" s="129">
        <f t="shared" ref="AF68:AP68" si="94">AF66-AF67</f>
        <v>216190.60000000003</v>
      </c>
      <c r="AG68" s="129">
        <f t="shared" si="94"/>
        <v>259825.39999999997</v>
      </c>
      <c r="AH68" s="129">
        <f t="shared" si="94"/>
        <v>224124.19999999998</v>
      </c>
      <c r="AI68" s="129">
        <f t="shared" si="94"/>
        <v>218174</v>
      </c>
      <c r="AJ68" s="129">
        <f t="shared" si="94"/>
        <v>182472.80000000002</v>
      </c>
      <c r="AK68" s="129">
        <f t="shared" si="94"/>
        <v>184456.19999999998</v>
      </c>
      <c r="AL68" s="129">
        <f t="shared" si="94"/>
        <v>168589</v>
      </c>
      <c r="AM68" s="129">
        <f t="shared" si="94"/>
        <v>202306.80000000002</v>
      </c>
      <c r="AN68" s="129">
        <f t="shared" si="94"/>
        <v>172555.80000000002</v>
      </c>
      <c r="AO68" s="129">
        <f t="shared" si="94"/>
        <v>178506</v>
      </c>
      <c r="AP68" s="129">
        <f t="shared" si="94"/>
        <v>158672</v>
      </c>
      <c r="AQ68" s="130">
        <f t="shared" si="86"/>
        <v>2380080</v>
      </c>
      <c r="AR68" s="130">
        <f t="shared" si="87"/>
        <v>198340</v>
      </c>
      <c r="AS68" s="131">
        <f t="shared" si="88"/>
        <v>6120205.7142857146</v>
      </c>
    </row>
    <row r="69" spans="1:45" s="66" customFormat="1" ht="10.5" x14ac:dyDescent="0.35">
      <c r="A69" s="64" t="str">
        <f>"- Инвестиции"</f>
        <v>- Инвестиции</v>
      </c>
      <c r="B69" s="65" t="str">
        <f>CHOOSE('Исходные данные'!$O$2,'Исходные данные'!$P$2,'Исходные данные'!$P$3,'Исходные данные'!$P$4,'Исходные данные'!$P$5)</f>
        <v>UAH</v>
      </c>
      <c r="C69" s="132">
        <f t="shared" ref="C69:N69" si="95">C39</f>
        <v>1904000</v>
      </c>
      <c r="D69" s="132">
        <f t="shared" si="95"/>
        <v>0</v>
      </c>
      <c r="E69" s="132">
        <f t="shared" si="95"/>
        <v>0</v>
      </c>
      <c r="F69" s="132">
        <f t="shared" si="95"/>
        <v>0</v>
      </c>
      <c r="G69" s="132">
        <f t="shared" si="95"/>
        <v>0</v>
      </c>
      <c r="H69" s="132">
        <f t="shared" si="95"/>
        <v>0</v>
      </c>
      <c r="I69" s="132">
        <f t="shared" si="95"/>
        <v>0</v>
      </c>
      <c r="J69" s="132">
        <f t="shared" si="95"/>
        <v>0</v>
      </c>
      <c r="K69" s="132">
        <f t="shared" si="95"/>
        <v>0</v>
      </c>
      <c r="L69" s="132">
        <f t="shared" si="95"/>
        <v>0</v>
      </c>
      <c r="M69" s="132">
        <f t="shared" si="95"/>
        <v>0</v>
      </c>
      <c r="N69" s="132">
        <f t="shared" si="95"/>
        <v>0</v>
      </c>
      <c r="O69" s="130">
        <f t="shared" si="80"/>
        <v>1904000</v>
      </c>
      <c r="P69" s="130"/>
      <c r="Q69" s="132">
        <f t="shared" ref="Q69:AB69" si="96">Q39</f>
        <v>0</v>
      </c>
      <c r="R69" s="132">
        <f t="shared" si="96"/>
        <v>0</v>
      </c>
      <c r="S69" s="132">
        <f t="shared" si="96"/>
        <v>0</v>
      </c>
      <c r="T69" s="132">
        <f t="shared" si="96"/>
        <v>0</v>
      </c>
      <c r="U69" s="132">
        <f t="shared" si="96"/>
        <v>0</v>
      </c>
      <c r="V69" s="132">
        <f t="shared" si="96"/>
        <v>0</v>
      </c>
      <c r="W69" s="132">
        <f t="shared" si="96"/>
        <v>0</v>
      </c>
      <c r="X69" s="132">
        <f t="shared" si="96"/>
        <v>0</v>
      </c>
      <c r="Y69" s="132">
        <f t="shared" si="96"/>
        <v>0</v>
      </c>
      <c r="Z69" s="132">
        <f t="shared" si="96"/>
        <v>0</v>
      </c>
      <c r="AA69" s="132">
        <f t="shared" si="96"/>
        <v>0</v>
      </c>
      <c r="AB69" s="132">
        <f t="shared" si="96"/>
        <v>0</v>
      </c>
      <c r="AC69" s="130">
        <f t="shared" si="83"/>
        <v>0</v>
      </c>
      <c r="AD69" s="130"/>
      <c r="AE69" s="132">
        <f t="shared" ref="AE69:AP69" si="97">AE39</f>
        <v>0</v>
      </c>
      <c r="AF69" s="132">
        <f t="shared" si="97"/>
        <v>0</v>
      </c>
      <c r="AG69" s="132">
        <f t="shared" si="97"/>
        <v>0</v>
      </c>
      <c r="AH69" s="132">
        <f t="shared" si="97"/>
        <v>0</v>
      </c>
      <c r="AI69" s="132">
        <f t="shared" si="97"/>
        <v>0</v>
      </c>
      <c r="AJ69" s="132">
        <f t="shared" si="97"/>
        <v>0</v>
      </c>
      <c r="AK69" s="132">
        <f t="shared" si="97"/>
        <v>0</v>
      </c>
      <c r="AL69" s="132">
        <f t="shared" si="97"/>
        <v>0</v>
      </c>
      <c r="AM69" s="132">
        <f t="shared" si="97"/>
        <v>0</v>
      </c>
      <c r="AN69" s="132">
        <f t="shared" si="97"/>
        <v>0</v>
      </c>
      <c r="AO69" s="132">
        <f t="shared" si="97"/>
        <v>0</v>
      </c>
      <c r="AP69" s="132">
        <f t="shared" si="97"/>
        <v>0</v>
      </c>
      <c r="AQ69" s="130">
        <f t="shared" si="86"/>
        <v>0</v>
      </c>
      <c r="AR69" s="130"/>
      <c r="AS69" s="131">
        <f t="shared" si="88"/>
        <v>1904000</v>
      </c>
    </row>
    <row r="70" spans="1:45" s="20" customFormat="1" ht="10.5" x14ac:dyDescent="0.35">
      <c r="A70" s="23" t="str">
        <f>"- Текущие затраты"</f>
        <v>- Текущие затраты</v>
      </c>
      <c r="B70" s="24" t="str">
        <f>CHOOSE('Исходные данные'!$O$2,'Исходные данные'!$P$2,'Исходные данные'!$P$3,'Исходные данные'!$P$4,'Исходные данные'!$P$5)</f>
        <v>UAH</v>
      </c>
      <c r="C70" s="129">
        <f t="shared" ref="C70:N70" si="98">C63</f>
        <v>100914.8</v>
      </c>
      <c r="D70" s="129">
        <f t="shared" si="98"/>
        <v>101077.9</v>
      </c>
      <c r="E70" s="129">
        <f t="shared" si="98"/>
        <v>104666.1</v>
      </c>
      <c r="F70" s="129">
        <f t="shared" si="98"/>
        <v>101730.3</v>
      </c>
      <c r="G70" s="129">
        <f t="shared" si="98"/>
        <v>101241</v>
      </c>
      <c r="H70" s="129">
        <f t="shared" si="98"/>
        <v>98305.2</v>
      </c>
      <c r="I70" s="129">
        <f t="shared" si="98"/>
        <v>98468.3</v>
      </c>
      <c r="J70" s="129">
        <f t="shared" si="98"/>
        <v>97163.5</v>
      </c>
      <c r="K70" s="129">
        <f t="shared" si="98"/>
        <v>99936.2</v>
      </c>
      <c r="L70" s="129">
        <f t="shared" si="98"/>
        <v>97489.7</v>
      </c>
      <c r="M70" s="129">
        <f t="shared" si="98"/>
        <v>97979</v>
      </c>
      <c r="N70" s="129">
        <f t="shared" si="98"/>
        <v>96348</v>
      </c>
      <c r="O70" s="130">
        <f t="shared" si="80"/>
        <v>1195320</v>
      </c>
      <c r="P70" s="130">
        <f t="shared" si="81"/>
        <v>99610</v>
      </c>
      <c r="Q70" s="129">
        <f t="shared" ref="Q70:AB70" si="99">Q63</f>
        <v>109567.76000000001</v>
      </c>
      <c r="R70" s="129">
        <f t="shared" si="99"/>
        <v>109763.48000000001</v>
      </c>
      <c r="S70" s="129">
        <f t="shared" si="99"/>
        <v>114069.32</v>
      </c>
      <c r="T70" s="129">
        <f t="shared" si="99"/>
        <v>110546.36</v>
      </c>
      <c r="U70" s="129">
        <f t="shared" si="99"/>
        <v>109959.2</v>
      </c>
      <c r="V70" s="129">
        <f t="shared" si="99"/>
        <v>106436.24</v>
      </c>
      <c r="W70" s="129">
        <f t="shared" si="99"/>
        <v>106631.96</v>
      </c>
      <c r="X70" s="129">
        <f t="shared" si="99"/>
        <v>105066.2</v>
      </c>
      <c r="Y70" s="129">
        <f t="shared" si="99"/>
        <v>108393.44</v>
      </c>
      <c r="Z70" s="129">
        <f t="shared" si="99"/>
        <v>105457.64</v>
      </c>
      <c r="AA70" s="129">
        <f t="shared" si="99"/>
        <v>106044.8</v>
      </c>
      <c r="AB70" s="129">
        <f t="shared" si="99"/>
        <v>104087.6</v>
      </c>
      <c r="AC70" s="130">
        <f t="shared" si="83"/>
        <v>1296024</v>
      </c>
      <c r="AD70" s="130">
        <f t="shared" si="84"/>
        <v>108002</v>
      </c>
      <c r="AE70" s="129">
        <f t="shared" ref="AE70:AP70" si="100">AE63</f>
        <v>118220.72</v>
      </c>
      <c r="AF70" s="129">
        <f t="shared" si="100"/>
        <v>118449.06</v>
      </c>
      <c r="AG70" s="129">
        <f t="shared" si="100"/>
        <v>123472.54</v>
      </c>
      <c r="AH70" s="129">
        <f t="shared" si="100"/>
        <v>119362.42</v>
      </c>
      <c r="AI70" s="129">
        <f t="shared" si="100"/>
        <v>118677.4</v>
      </c>
      <c r="AJ70" s="129">
        <f t="shared" si="100"/>
        <v>114567.28</v>
      </c>
      <c r="AK70" s="129">
        <f t="shared" si="100"/>
        <v>114795.62</v>
      </c>
      <c r="AL70" s="129">
        <f t="shared" si="100"/>
        <v>112968.9</v>
      </c>
      <c r="AM70" s="129">
        <f t="shared" si="100"/>
        <v>116850.68000000001</v>
      </c>
      <c r="AN70" s="129">
        <f t="shared" si="100"/>
        <v>113425.58</v>
      </c>
      <c r="AO70" s="129">
        <f t="shared" si="100"/>
        <v>114110.6</v>
      </c>
      <c r="AP70" s="129">
        <f t="shared" si="100"/>
        <v>111827.2</v>
      </c>
      <c r="AQ70" s="130">
        <f t="shared" si="86"/>
        <v>1396728.0000000002</v>
      </c>
      <c r="AR70" s="130">
        <f t="shared" si="87"/>
        <v>116394.00000000001</v>
      </c>
      <c r="AS70" s="131">
        <f t="shared" si="88"/>
        <v>3888072</v>
      </c>
    </row>
    <row r="71" spans="1:45" s="20" customFormat="1" ht="10.5" x14ac:dyDescent="0.35">
      <c r="A71" s="189" t="s">
        <v>104</v>
      </c>
      <c r="B71" s="24" t="str">
        <f>CHOOSE('Исходные данные'!$O$2,'Исходные данные'!$P$2,'Исходные данные'!$P$3,'Исходные данные'!$P$4,'Исходные данные'!$P$5)</f>
        <v>UAH</v>
      </c>
      <c r="C71" s="129">
        <f>C68-C69-C70</f>
        <v>-1851909.6571428573</v>
      </c>
      <c r="D71" s="129">
        <f>D68-D69-D70</f>
        <v>53343.957142857136</v>
      </c>
      <c r="E71" s="129">
        <f t="shared" ref="E71:N71" si="101">E68-E69-E70</f>
        <v>80923.471428571414</v>
      </c>
      <c r="F71" s="129">
        <f t="shared" si="101"/>
        <v>58358.414285714287</v>
      </c>
      <c r="G71" s="129">
        <f t="shared" si="101"/>
        <v>54597.57142857142</v>
      </c>
      <c r="H71" s="129">
        <f t="shared" si="101"/>
        <v>32032.514285714293</v>
      </c>
      <c r="I71" s="129">
        <f t="shared" si="101"/>
        <v>33286.128571428577</v>
      </c>
      <c r="J71" s="129">
        <f t="shared" si="101"/>
        <v>23257.21428571429</v>
      </c>
      <c r="K71" s="129">
        <f t="shared" si="101"/>
        <v>44568.657142857133</v>
      </c>
      <c r="L71" s="129">
        <f t="shared" si="101"/>
        <v>25764.442857142858</v>
      </c>
      <c r="M71" s="129">
        <f t="shared" si="101"/>
        <v>29525.28571428571</v>
      </c>
      <c r="N71" s="129">
        <f t="shared" si="101"/>
        <v>16989.142857142855</v>
      </c>
      <c r="O71" s="130">
        <f t="shared" si="80"/>
        <v>-1399262.8571428573</v>
      </c>
      <c r="P71" s="130">
        <f t="shared" si="81"/>
        <v>-116605.23809523811</v>
      </c>
      <c r="Q71" s="129">
        <f>Q68-Q69-Q70</f>
        <v>74038.411428571446</v>
      </c>
      <c r="R71" s="129">
        <f>R68-R69-R70</f>
        <v>75542.748571428587</v>
      </c>
      <c r="S71" s="129">
        <f t="shared" ref="S71:AB71" si="102">S68-S69-S70</f>
        <v>108638.16571428569</v>
      </c>
      <c r="T71" s="129">
        <f t="shared" si="102"/>
        <v>81560.097142857136</v>
      </c>
      <c r="U71" s="129">
        <f t="shared" si="102"/>
        <v>77047.085714285713</v>
      </c>
      <c r="V71" s="129">
        <f t="shared" si="102"/>
        <v>49969.017142857148</v>
      </c>
      <c r="W71" s="129">
        <f t="shared" si="102"/>
        <v>51473.354285714318</v>
      </c>
      <c r="X71" s="129">
        <f t="shared" si="102"/>
        <v>39438.657142857133</v>
      </c>
      <c r="Y71" s="129">
        <f t="shared" si="102"/>
        <v>65012.388571428572</v>
      </c>
      <c r="Z71" s="129">
        <f t="shared" si="102"/>
        <v>42447.331428571415</v>
      </c>
      <c r="AA71" s="129">
        <f t="shared" si="102"/>
        <v>46960.342857142838</v>
      </c>
      <c r="AB71" s="129">
        <f t="shared" si="102"/>
        <v>31916.971428571414</v>
      </c>
      <c r="AC71" s="130">
        <f t="shared" si="83"/>
        <v>744044.57142857136</v>
      </c>
      <c r="AD71" s="130">
        <f t="shared" si="84"/>
        <v>62003.714285714283</v>
      </c>
      <c r="AE71" s="129">
        <f>AE68-AE69-AE70</f>
        <v>95986.479999999981</v>
      </c>
      <c r="AF71" s="129">
        <f>AF68-AF69-AF70</f>
        <v>97741.540000000037</v>
      </c>
      <c r="AG71" s="129">
        <f t="shared" ref="AG71:AP71" si="103">AG68-AG69-AG70</f>
        <v>136352.85999999999</v>
      </c>
      <c r="AH71" s="129">
        <f t="shared" si="103"/>
        <v>104761.77999999998</v>
      </c>
      <c r="AI71" s="129">
        <f t="shared" si="103"/>
        <v>99496.6</v>
      </c>
      <c r="AJ71" s="129">
        <f t="shared" si="103"/>
        <v>67905.520000000019</v>
      </c>
      <c r="AK71" s="129">
        <f t="shared" si="103"/>
        <v>69660.579999999987</v>
      </c>
      <c r="AL71" s="129">
        <f t="shared" si="103"/>
        <v>55620.100000000006</v>
      </c>
      <c r="AM71" s="129">
        <f t="shared" si="103"/>
        <v>85456.12000000001</v>
      </c>
      <c r="AN71" s="129">
        <f t="shared" si="103"/>
        <v>59130.220000000016</v>
      </c>
      <c r="AO71" s="129">
        <f t="shared" si="103"/>
        <v>64395.399999999994</v>
      </c>
      <c r="AP71" s="129">
        <f t="shared" si="103"/>
        <v>46844.800000000003</v>
      </c>
      <c r="AQ71" s="130">
        <f t="shared" si="86"/>
        <v>983352</v>
      </c>
      <c r="AR71" s="130">
        <f t="shared" si="87"/>
        <v>81946</v>
      </c>
      <c r="AS71" s="131">
        <f t="shared" si="88"/>
        <v>328133.71428571409</v>
      </c>
    </row>
    <row r="72" spans="1:45" s="20" customFormat="1" ht="10.5" x14ac:dyDescent="0.35">
      <c r="A72" s="190" t="s">
        <v>70</v>
      </c>
      <c r="B72" s="24" t="str">
        <f>CHOOSE('Исходные данные'!$O$2,'Исходные данные'!$P$2,'Исходные данные'!$P$3,'Исходные данные'!$P$4,'Исходные данные'!$P$5)</f>
        <v>UAH</v>
      </c>
      <c r="C72" s="129">
        <f t="shared" ref="C72:N72" si="104">C68-C70</f>
        <v>52090.342857142838</v>
      </c>
      <c r="D72" s="129">
        <f t="shared" si="104"/>
        <v>53343.957142857136</v>
      </c>
      <c r="E72" s="129">
        <f t="shared" si="104"/>
        <v>80923.471428571414</v>
      </c>
      <c r="F72" s="129">
        <f t="shared" si="104"/>
        <v>58358.414285714287</v>
      </c>
      <c r="G72" s="129">
        <f t="shared" si="104"/>
        <v>54597.57142857142</v>
      </c>
      <c r="H72" s="129">
        <f t="shared" si="104"/>
        <v>32032.514285714293</v>
      </c>
      <c r="I72" s="129">
        <f t="shared" si="104"/>
        <v>33286.128571428577</v>
      </c>
      <c r="J72" s="129">
        <f t="shared" si="104"/>
        <v>23257.21428571429</v>
      </c>
      <c r="K72" s="129">
        <f t="shared" si="104"/>
        <v>44568.657142857133</v>
      </c>
      <c r="L72" s="129">
        <f t="shared" si="104"/>
        <v>25764.442857142858</v>
      </c>
      <c r="M72" s="129">
        <f t="shared" si="104"/>
        <v>29525.28571428571</v>
      </c>
      <c r="N72" s="129">
        <f t="shared" si="104"/>
        <v>16989.142857142855</v>
      </c>
      <c r="O72" s="130">
        <f t="shared" si="80"/>
        <v>504737.14285714272</v>
      </c>
      <c r="P72" s="130">
        <f t="shared" si="81"/>
        <v>42061.428571428558</v>
      </c>
      <c r="Q72" s="129">
        <f t="shared" ref="Q72:AB72" si="105">Q68-Q70</f>
        <v>74038.411428571446</v>
      </c>
      <c r="R72" s="129">
        <f t="shared" si="105"/>
        <v>75542.748571428587</v>
      </c>
      <c r="S72" s="129">
        <f t="shared" si="105"/>
        <v>108638.16571428569</v>
      </c>
      <c r="T72" s="129">
        <f t="shared" si="105"/>
        <v>81560.097142857136</v>
      </c>
      <c r="U72" s="129">
        <f t="shared" si="105"/>
        <v>77047.085714285713</v>
      </c>
      <c r="V72" s="129">
        <f t="shared" si="105"/>
        <v>49969.017142857148</v>
      </c>
      <c r="W72" s="129">
        <f t="shared" si="105"/>
        <v>51473.354285714318</v>
      </c>
      <c r="X72" s="129">
        <f t="shared" si="105"/>
        <v>39438.657142857133</v>
      </c>
      <c r="Y72" s="129">
        <f t="shared" si="105"/>
        <v>65012.388571428572</v>
      </c>
      <c r="Z72" s="129">
        <f t="shared" si="105"/>
        <v>42447.331428571415</v>
      </c>
      <c r="AA72" s="129">
        <f t="shared" si="105"/>
        <v>46960.342857142838</v>
      </c>
      <c r="AB72" s="129">
        <f t="shared" si="105"/>
        <v>31916.971428571414</v>
      </c>
      <c r="AC72" s="130">
        <f t="shared" si="83"/>
        <v>744044.57142857136</v>
      </c>
      <c r="AD72" s="130">
        <f t="shared" si="84"/>
        <v>62003.714285714283</v>
      </c>
      <c r="AE72" s="129">
        <f t="shared" ref="AE72:AP72" si="106">AE68-AE70</f>
        <v>95986.479999999981</v>
      </c>
      <c r="AF72" s="129">
        <f t="shared" si="106"/>
        <v>97741.540000000037</v>
      </c>
      <c r="AG72" s="129">
        <f t="shared" si="106"/>
        <v>136352.85999999999</v>
      </c>
      <c r="AH72" s="129">
        <f t="shared" si="106"/>
        <v>104761.77999999998</v>
      </c>
      <c r="AI72" s="129">
        <f t="shared" si="106"/>
        <v>99496.6</v>
      </c>
      <c r="AJ72" s="129">
        <f t="shared" si="106"/>
        <v>67905.520000000019</v>
      </c>
      <c r="AK72" s="129">
        <f t="shared" si="106"/>
        <v>69660.579999999987</v>
      </c>
      <c r="AL72" s="129">
        <f t="shared" si="106"/>
        <v>55620.100000000006</v>
      </c>
      <c r="AM72" s="129">
        <f t="shared" si="106"/>
        <v>85456.12000000001</v>
      </c>
      <c r="AN72" s="129">
        <f t="shared" si="106"/>
        <v>59130.220000000016</v>
      </c>
      <c r="AO72" s="129">
        <f t="shared" si="106"/>
        <v>64395.399999999994</v>
      </c>
      <c r="AP72" s="129">
        <f t="shared" si="106"/>
        <v>46844.800000000003</v>
      </c>
      <c r="AQ72" s="130">
        <f t="shared" si="86"/>
        <v>983352</v>
      </c>
      <c r="AR72" s="130">
        <f t="shared" si="87"/>
        <v>81946</v>
      </c>
      <c r="AS72" s="133"/>
    </row>
    <row r="73" spans="1:45" s="20" customFormat="1" ht="10.5" x14ac:dyDescent="0.35">
      <c r="A73" s="185" t="str">
        <f>"- Прибыль (убытки) накопительным итогом"</f>
        <v>- Прибыль (убытки) накопительным итогом</v>
      </c>
      <c r="B73" s="24" t="str">
        <f>CHOOSE('Исходные данные'!$O$2,'Исходные данные'!$P$2,'Исходные данные'!$P$3,'Исходные данные'!$P$4,'Исходные данные'!$P$5)</f>
        <v>UAH</v>
      </c>
      <c r="C73" s="129">
        <f t="shared" ref="C73:N73" si="107">C71+IF(ISNUMBER(B73),B73,0)</f>
        <v>-1851909.6571428573</v>
      </c>
      <c r="D73" s="129">
        <f t="shared" si="107"/>
        <v>-1798565.7000000002</v>
      </c>
      <c r="E73" s="129">
        <f t="shared" si="107"/>
        <v>-1717642.2285714287</v>
      </c>
      <c r="F73" s="129">
        <f t="shared" si="107"/>
        <v>-1659283.8142857144</v>
      </c>
      <c r="G73" s="129">
        <f t="shared" si="107"/>
        <v>-1604686.2428571431</v>
      </c>
      <c r="H73" s="129">
        <f t="shared" si="107"/>
        <v>-1572653.7285714287</v>
      </c>
      <c r="I73" s="129">
        <f t="shared" si="107"/>
        <v>-1539367.6</v>
      </c>
      <c r="J73" s="129">
        <f t="shared" si="107"/>
        <v>-1516110.3857142858</v>
      </c>
      <c r="K73" s="129">
        <f t="shared" si="107"/>
        <v>-1471541.7285714287</v>
      </c>
      <c r="L73" s="129">
        <f t="shared" si="107"/>
        <v>-1445777.2857142859</v>
      </c>
      <c r="M73" s="129">
        <f t="shared" si="107"/>
        <v>-1416252.0000000002</v>
      </c>
      <c r="N73" s="129">
        <f t="shared" si="107"/>
        <v>-1399262.8571428573</v>
      </c>
      <c r="O73" s="130">
        <f>N73</f>
        <v>-1399262.8571428573</v>
      </c>
      <c r="P73" s="130"/>
      <c r="Q73" s="129">
        <f>Q71+IF(ISNUMBER(N73),N73,0)</f>
        <v>-1325224.4457142858</v>
      </c>
      <c r="R73" s="129">
        <f t="shared" ref="R73:AB73" si="108">R71+IF(ISNUMBER(Q73),Q73,0)</f>
        <v>-1249681.6971428571</v>
      </c>
      <c r="S73" s="129">
        <f t="shared" si="108"/>
        <v>-1141043.5314285713</v>
      </c>
      <c r="T73" s="129">
        <f t="shared" si="108"/>
        <v>-1059483.4342857143</v>
      </c>
      <c r="U73" s="129">
        <f t="shared" si="108"/>
        <v>-982436.34857142856</v>
      </c>
      <c r="V73" s="129">
        <f t="shared" si="108"/>
        <v>-932467.33142857137</v>
      </c>
      <c r="W73" s="129">
        <f t="shared" si="108"/>
        <v>-880993.97714285704</v>
      </c>
      <c r="X73" s="129">
        <f t="shared" si="108"/>
        <v>-841555.32</v>
      </c>
      <c r="Y73" s="129">
        <f t="shared" si="108"/>
        <v>-776542.93142857135</v>
      </c>
      <c r="Z73" s="129">
        <f t="shared" si="108"/>
        <v>-734095.6</v>
      </c>
      <c r="AA73" s="129">
        <f t="shared" si="108"/>
        <v>-687135.25714285718</v>
      </c>
      <c r="AB73" s="129">
        <f t="shared" si="108"/>
        <v>-655218.2857142858</v>
      </c>
      <c r="AC73" s="130">
        <f>AB73</f>
        <v>-655218.2857142858</v>
      </c>
      <c r="AD73" s="130"/>
      <c r="AE73" s="129">
        <f>AE71+IF(ISNUMBER(AB73),AB73,0)</f>
        <v>-559231.80571428582</v>
      </c>
      <c r="AF73" s="129">
        <f t="shared" ref="AF73:AP73" si="109">AF71+IF(ISNUMBER(AE73),AE73,0)</f>
        <v>-461490.26571428578</v>
      </c>
      <c r="AG73" s="129">
        <f t="shared" si="109"/>
        <v>-325137.40571428579</v>
      </c>
      <c r="AH73" s="129">
        <f t="shared" si="109"/>
        <v>-220375.62571428582</v>
      </c>
      <c r="AI73" s="129">
        <f t="shared" si="109"/>
        <v>-120879.02571428582</v>
      </c>
      <c r="AJ73" s="129">
        <f t="shared" si="109"/>
        <v>-52973.505714285799</v>
      </c>
      <c r="AK73" s="129">
        <f t="shared" si="109"/>
        <v>16687.074285714189</v>
      </c>
      <c r="AL73" s="129">
        <f t="shared" si="109"/>
        <v>72307.174285714194</v>
      </c>
      <c r="AM73" s="129">
        <f t="shared" si="109"/>
        <v>157763.29428571422</v>
      </c>
      <c r="AN73" s="129">
        <f t="shared" si="109"/>
        <v>216893.51428571425</v>
      </c>
      <c r="AO73" s="129">
        <f t="shared" si="109"/>
        <v>281288.91428571427</v>
      </c>
      <c r="AP73" s="129">
        <f t="shared" si="109"/>
        <v>328133.71428571426</v>
      </c>
      <c r="AQ73" s="130">
        <f>AP73</f>
        <v>328133.71428571426</v>
      </c>
      <c r="AR73" s="130"/>
      <c r="AS73" s="133"/>
    </row>
    <row r="74" spans="1:45" s="20" customFormat="1" ht="10.8" thickBot="1" x14ac:dyDescent="0.45">
      <c r="O74" s="55"/>
      <c r="P74" s="55"/>
      <c r="AC74" s="55"/>
      <c r="AD74" s="55"/>
      <c r="AQ74" s="55"/>
      <c r="AR74" s="55"/>
    </row>
    <row r="75" spans="1:45" s="20" customFormat="1" ht="21.6" thickTop="1" thickBot="1" x14ac:dyDescent="0.4">
      <c r="A75" s="18" t="s">
        <v>13</v>
      </c>
      <c r="B75" s="19"/>
      <c r="C75" s="19" t="str">
        <f t="shared" ref="C75:N75" si="110">C$6</f>
        <v>январь</v>
      </c>
      <c r="D75" s="19" t="str">
        <f t="shared" si="110"/>
        <v>февраль</v>
      </c>
      <c r="E75" s="19" t="str">
        <f t="shared" si="110"/>
        <v>март</v>
      </c>
      <c r="F75" s="19" t="str">
        <f t="shared" si="110"/>
        <v>апрель</v>
      </c>
      <c r="G75" s="19" t="str">
        <f t="shared" si="110"/>
        <v>май</v>
      </c>
      <c r="H75" s="19" t="str">
        <f t="shared" si="110"/>
        <v>июнь</v>
      </c>
      <c r="I75" s="19" t="str">
        <f t="shared" si="110"/>
        <v>июль</v>
      </c>
      <c r="J75" s="19" t="str">
        <f t="shared" si="110"/>
        <v>август</v>
      </c>
      <c r="K75" s="19" t="str">
        <f t="shared" si="110"/>
        <v>сентябрь</v>
      </c>
      <c r="L75" s="19" t="str">
        <f t="shared" si="110"/>
        <v>октябрь</v>
      </c>
      <c r="M75" s="19" t="str">
        <f t="shared" si="110"/>
        <v>ноябрь</v>
      </c>
      <c r="N75" s="19" t="str">
        <f t="shared" si="110"/>
        <v>декабрь</v>
      </c>
      <c r="O75" s="108" t="str">
        <f>$O$16</f>
        <v>Итого за 1-й год</v>
      </c>
      <c r="P75" s="108" t="str">
        <f>$P$16</f>
        <v>Среднемесячно за 1-й год</v>
      </c>
      <c r="Q75" s="19" t="str">
        <f t="shared" ref="Q75:AB75" si="111">Q$6</f>
        <v>январь</v>
      </c>
      <c r="R75" s="19" t="str">
        <f t="shared" si="111"/>
        <v>февраль</v>
      </c>
      <c r="S75" s="19" t="str">
        <f t="shared" si="111"/>
        <v>март</v>
      </c>
      <c r="T75" s="19" t="str">
        <f t="shared" si="111"/>
        <v>апрель</v>
      </c>
      <c r="U75" s="19" t="str">
        <f t="shared" si="111"/>
        <v>май</v>
      </c>
      <c r="V75" s="19" t="str">
        <f t="shared" si="111"/>
        <v>июнь</v>
      </c>
      <c r="W75" s="19" t="str">
        <f t="shared" si="111"/>
        <v>июль</v>
      </c>
      <c r="X75" s="19" t="str">
        <f t="shared" si="111"/>
        <v>август</v>
      </c>
      <c r="Y75" s="19" t="str">
        <f t="shared" si="111"/>
        <v>сентябрь</v>
      </c>
      <c r="Z75" s="19" t="str">
        <f t="shared" si="111"/>
        <v>октябрь</v>
      </c>
      <c r="AA75" s="19" t="str">
        <f t="shared" si="111"/>
        <v>ноябрь</v>
      </c>
      <c r="AB75" s="19" t="str">
        <f t="shared" si="111"/>
        <v>декабрь</v>
      </c>
      <c r="AC75" s="108" t="str">
        <f>AC65</f>
        <v>Итого за 2-й год</v>
      </c>
      <c r="AD75" s="108" t="str">
        <f>AD65</f>
        <v>Среднемесячно за 2-й год</v>
      </c>
      <c r="AE75" s="19" t="str">
        <f t="shared" ref="AE75:AP75" si="112">AE$6</f>
        <v>январь</v>
      </c>
      <c r="AF75" s="19" t="str">
        <f t="shared" si="112"/>
        <v>февраль</v>
      </c>
      <c r="AG75" s="19" t="str">
        <f t="shared" si="112"/>
        <v>март</v>
      </c>
      <c r="AH75" s="19" t="str">
        <f t="shared" si="112"/>
        <v>апрель</v>
      </c>
      <c r="AI75" s="19" t="str">
        <f t="shared" si="112"/>
        <v>май</v>
      </c>
      <c r="AJ75" s="19" t="str">
        <f t="shared" si="112"/>
        <v>июнь</v>
      </c>
      <c r="AK75" s="19" t="str">
        <f t="shared" si="112"/>
        <v>июль</v>
      </c>
      <c r="AL75" s="19" t="str">
        <f t="shared" si="112"/>
        <v>август</v>
      </c>
      <c r="AM75" s="19" t="str">
        <f t="shared" si="112"/>
        <v>сентябрь</v>
      </c>
      <c r="AN75" s="19" t="str">
        <f t="shared" si="112"/>
        <v>октябрь</v>
      </c>
      <c r="AO75" s="19" t="str">
        <f t="shared" si="112"/>
        <v>ноябрь</v>
      </c>
      <c r="AP75" s="19" t="str">
        <f t="shared" si="112"/>
        <v>декабрь</v>
      </c>
      <c r="AQ75" s="108" t="str">
        <f>AQ65</f>
        <v>Итого за 3-й год</v>
      </c>
      <c r="AR75" s="108" t="str">
        <f>AR65</f>
        <v>Среднемесячно за 3-й год</v>
      </c>
      <c r="AS75" s="117" t="str">
        <f>AS65</f>
        <v>Итого за три года</v>
      </c>
    </row>
    <row r="76" spans="1:45" s="35" customFormat="1" ht="10.8" thickTop="1" x14ac:dyDescent="0.35">
      <c r="A76" s="188" t="s">
        <v>14</v>
      </c>
      <c r="B76" s="24" t="str">
        <f>CHOOSE('Исходные данные'!$O$2,'Исходные данные'!$P$2,'Исходные данные'!$P$3,'Исходные данные'!$P$4,'Исходные данные'!$P$5)</f>
        <v>UAH</v>
      </c>
      <c r="C76" s="36">
        <f t="shared" ref="C76:N76" si="113">C66</f>
        <v>176148</v>
      </c>
      <c r="D76" s="36">
        <f t="shared" si="113"/>
        <v>177779</v>
      </c>
      <c r="E76" s="36">
        <f t="shared" si="113"/>
        <v>213661</v>
      </c>
      <c r="F76" s="36">
        <f t="shared" si="113"/>
        <v>184303</v>
      </c>
      <c r="G76" s="36">
        <f t="shared" si="113"/>
        <v>179410</v>
      </c>
      <c r="H76" s="36">
        <f t="shared" si="113"/>
        <v>150052</v>
      </c>
      <c r="I76" s="36">
        <f t="shared" si="113"/>
        <v>151683</v>
      </c>
      <c r="J76" s="36">
        <f t="shared" si="113"/>
        <v>138635</v>
      </c>
      <c r="K76" s="36">
        <f t="shared" si="113"/>
        <v>166362</v>
      </c>
      <c r="L76" s="36">
        <f t="shared" si="113"/>
        <v>141897</v>
      </c>
      <c r="M76" s="36">
        <f t="shared" si="113"/>
        <v>146790</v>
      </c>
      <c r="N76" s="36">
        <f t="shared" si="113"/>
        <v>130480</v>
      </c>
      <c r="O76" s="52">
        <f>SUM(C76:N76)</f>
        <v>1957200</v>
      </c>
      <c r="P76" s="52">
        <f>O76/12</f>
        <v>163100</v>
      </c>
      <c r="Q76" s="36">
        <f t="shared" ref="Q76:AB76" si="114">Q66</f>
        <v>211377.60000000003</v>
      </c>
      <c r="R76" s="36">
        <f t="shared" si="114"/>
        <v>213334.80000000002</v>
      </c>
      <c r="S76" s="36">
        <f t="shared" si="114"/>
        <v>256393.19999999998</v>
      </c>
      <c r="T76" s="36">
        <f t="shared" si="114"/>
        <v>221163.59999999998</v>
      </c>
      <c r="U76" s="36">
        <f t="shared" si="114"/>
        <v>215292</v>
      </c>
      <c r="V76" s="36">
        <f t="shared" si="114"/>
        <v>180062.40000000002</v>
      </c>
      <c r="W76" s="36">
        <f t="shared" si="114"/>
        <v>182019.60000000003</v>
      </c>
      <c r="X76" s="36">
        <f t="shared" si="114"/>
        <v>166362</v>
      </c>
      <c r="Y76" s="36">
        <f t="shared" si="114"/>
        <v>199634.4</v>
      </c>
      <c r="Z76" s="36">
        <f t="shared" si="114"/>
        <v>170276.4</v>
      </c>
      <c r="AA76" s="36">
        <f t="shared" si="114"/>
        <v>176148</v>
      </c>
      <c r="AB76" s="36">
        <f t="shared" si="114"/>
        <v>156576</v>
      </c>
      <c r="AC76" s="52">
        <f>SUM(Q76:AB76)</f>
        <v>2348640</v>
      </c>
      <c r="AD76" s="52">
        <f>AC76/12</f>
        <v>195720</v>
      </c>
      <c r="AE76" s="36">
        <f t="shared" ref="AE76:AP76" si="115">AE66</f>
        <v>246607.19999999998</v>
      </c>
      <c r="AF76" s="36">
        <f t="shared" si="115"/>
        <v>248890.60000000003</v>
      </c>
      <c r="AG76" s="36">
        <f t="shared" si="115"/>
        <v>299125.39999999997</v>
      </c>
      <c r="AH76" s="36">
        <f t="shared" si="115"/>
        <v>258024.19999999998</v>
      </c>
      <c r="AI76" s="36">
        <f t="shared" si="115"/>
        <v>251174</v>
      </c>
      <c r="AJ76" s="36">
        <f t="shared" si="115"/>
        <v>210072.80000000002</v>
      </c>
      <c r="AK76" s="36">
        <f t="shared" si="115"/>
        <v>212356.19999999998</v>
      </c>
      <c r="AL76" s="36">
        <f t="shared" si="115"/>
        <v>194089</v>
      </c>
      <c r="AM76" s="36">
        <f t="shared" si="115"/>
        <v>232906.80000000002</v>
      </c>
      <c r="AN76" s="36">
        <f t="shared" si="115"/>
        <v>198655.80000000002</v>
      </c>
      <c r="AO76" s="36">
        <f t="shared" si="115"/>
        <v>205506</v>
      </c>
      <c r="AP76" s="36">
        <f t="shared" si="115"/>
        <v>182672</v>
      </c>
      <c r="AQ76" s="52">
        <f>SUM(AE76:AP76)</f>
        <v>2740079.9999999995</v>
      </c>
      <c r="AR76" s="52">
        <f>AQ76/12</f>
        <v>228339.99999999997</v>
      </c>
      <c r="AS76" s="124">
        <f>O76+AC76+AQ76</f>
        <v>7045920</v>
      </c>
    </row>
    <row r="77" spans="1:45" s="35" customFormat="1" ht="10.5" x14ac:dyDescent="0.35">
      <c r="A77" s="188" t="s">
        <v>1</v>
      </c>
      <c r="B77" s="24" t="str">
        <f>CHOOSE('Исходные данные'!$O$2,'Исходные данные'!$P$2,'Исходные данные'!$P$3,'Исходные данные'!$P$4,'Исходные данные'!$P$5)</f>
        <v>UAH</v>
      </c>
      <c r="C77" s="125">
        <f t="shared" ref="C77:N77" si="116">-(C63+C28)</f>
        <v>-124057.65714285715</v>
      </c>
      <c r="D77" s="125">
        <f t="shared" si="116"/>
        <v>-124435.04285714286</v>
      </c>
      <c r="E77" s="125">
        <f t="shared" si="116"/>
        <v>-132737.52857142859</v>
      </c>
      <c r="F77" s="125">
        <f t="shared" si="116"/>
        <v>-125944.58571428573</v>
      </c>
      <c r="G77" s="125">
        <f t="shared" si="116"/>
        <v>-124812.42857142858</v>
      </c>
      <c r="H77" s="125">
        <f t="shared" si="116"/>
        <v>-118019.48571428571</v>
      </c>
      <c r="I77" s="125">
        <f t="shared" si="116"/>
        <v>-118396.87142857144</v>
      </c>
      <c r="J77" s="125">
        <f t="shared" si="116"/>
        <v>-115377.78571428571</v>
      </c>
      <c r="K77" s="125">
        <f t="shared" si="116"/>
        <v>-121793.34285714285</v>
      </c>
      <c r="L77" s="125">
        <f t="shared" si="116"/>
        <v>-116132.55714285714</v>
      </c>
      <c r="M77" s="125">
        <f t="shared" si="116"/>
        <v>-117264.71428571429</v>
      </c>
      <c r="N77" s="125">
        <f t="shared" si="116"/>
        <v>-113490.85714285714</v>
      </c>
      <c r="O77" s="52">
        <f>SUM(C77:N77)</f>
        <v>-1452462.857142857</v>
      </c>
      <c r="P77" s="52">
        <f>O77/12</f>
        <v>-121038.57142857142</v>
      </c>
      <c r="Q77" s="125">
        <f t="shared" ref="Q77:AB77" si="117">-(Q63+Q28)</f>
        <v>-137339.18857142859</v>
      </c>
      <c r="R77" s="125">
        <f t="shared" si="117"/>
        <v>-137792.05142857143</v>
      </c>
      <c r="S77" s="125">
        <f t="shared" si="117"/>
        <v>-147755.0342857143</v>
      </c>
      <c r="T77" s="125">
        <f t="shared" si="117"/>
        <v>-139603.50285714286</v>
      </c>
      <c r="U77" s="125">
        <f t="shared" si="117"/>
        <v>-138244.91428571427</v>
      </c>
      <c r="V77" s="125">
        <f t="shared" si="117"/>
        <v>-130093.38285714286</v>
      </c>
      <c r="W77" s="125">
        <f t="shared" si="117"/>
        <v>-130546.24571428573</v>
      </c>
      <c r="X77" s="125">
        <f t="shared" si="117"/>
        <v>-126923.34285714285</v>
      </c>
      <c r="Y77" s="125">
        <f t="shared" si="117"/>
        <v>-134622.01142857142</v>
      </c>
      <c r="Z77" s="125">
        <f t="shared" si="117"/>
        <v>-127829.06857142856</v>
      </c>
      <c r="AA77" s="125">
        <f t="shared" si="117"/>
        <v>-129187.65714285715</v>
      </c>
      <c r="AB77" s="125">
        <f t="shared" si="117"/>
        <v>-124659.02857142859</v>
      </c>
      <c r="AC77" s="52">
        <f>SUM(Q77:AB77)</f>
        <v>-1604595.4285714282</v>
      </c>
      <c r="AD77" s="52">
        <f>AC77/12</f>
        <v>-133716.28571428568</v>
      </c>
      <c r="AE77" s="125">
        <f t="shared" ref="AE77:AP77" si="118">-(AE63+AE28)</f>
        <v>-150620.72</v>
      </c>
      <c r="AF77" s="125">
        <f t="shared" si="118"/>
        <v>-151149.06</v>
      </c>
      <c r="AG77" s="125">
        <f t="shared" si="118"/>
        <v>-162772.53999999998</v>
      </c>
      <c r="AH77" s="125">
        <f t="shared" si="118"/>
        <v>-153262.41999999998</v>
      </c>
      <c r="AI77" s="125">
        <f t="shared" si="118"/>
        <v>-151677.4</v>
      </c>
      <c r="AJ77" s="125">
        <f t="shared" si="118"/>
        <v>-142167.28</v>
      </c>
      <c r="AK77" s="125">
        <f t="shared" si="118"/>
        <v>-142695.62</v>
      </c>
      <c r="AL77" s="125">
        <f t="shared" si="118"/>
        <v>-138468.9</v>
      </c>
      <c r="AM77" s="125">
        <f t="shared" si="118"/>
        <v>-147450.68000000002</v>
      </c>
      <c r="AN77" s="125">
        <f t="shared" si="118"/>
        <v>-139525.58000000002</v>
      </c>
      <c r="AO77" s="125">
        <f t="shared" si="118"/>
        <v>-141110.6</v>
      </c>
      <c r="AP77" s="125">
        <f t="shared" si="118"/>
        <v>-135827.20000000001</v>
      </c>
      <c r="AQ77" s="52">
        <f>SUM(AE77:AP77)</f>
        <v>-1756728</v>
      </c>
      <c r="AR77" s="52">
        <f>AQ77/12</f>
        <v>-146394</v>
      </c>
      <c r="AS77" s="124">
        <f>O77+AC77+AQ77</f>
        <v>-4813786.2857142854</v>
      </c>
    </row>
    <row r="78" spans="1:45" s="35" customFormat="1" ht="10.5" x14ac:dyDescent="0.35">
      <c r="A78" s="188" t="s">
        <v>15</v>
      </c>
      <c r="B78" s="24" t="str">
        <f>CHOOSE('Исходные данные'!$O$2,'Исходные данные'!$P$2,'Исходные данные'!$P$3,'Исходные данные'!$P$4,'Исходные данные'!$P$5)</f>
        <v>UAH</v>
      </c>
      <c r="C78" s="125">
        <f t="shared" ref="C78:N78" si="119">SUM(C76:C77)</f>
        <v>52090.342857142852</v>
      </c>
      <c r="D78" s="36">
        <f t="shared" si="119"/>
        <v>53343.957142857136</v>
      </c>
      <c r="E78" s="36">
        <f t="shared" si="119"/>
        <v>80923.471428571414</v>
      </c>
      <c r="F78" s="36">
        <f t="shared" si="119"/>
        <v>58358.414285714272</v>
      </c>
      <c r="G78" s="36">
        <f t="shared" si="119"/>
        <v>54597.57142857142</v>
      </c>
      <c r="H78" s="36">
        <f t="shared" si="119"/>
        <v>32032.514285714293</v>
      </c>
      <c r="I78" s="36">
        <f t="shared" si="119"/>
        <v>33286.128571428562</v>
      </c>
      <c r="J78" s="125">
        <f t="shared" si="119"/>
        <v>23257.21428571429</v>
      </c>
      <c r="K78" s="125">
        <f t="shared" si="119"/>
        <v>44568.657142857148</v>
      </c>
      <c r="L78" s="125">
        <f t="shared" si="119"/>
        <v>25764.442857142858</v>
      </c>
      <c r="M78" s="125">
        <f t="shared" si="119"/>
        <v>29525.28571428571</v>
      </c>
      <c r="N78" s="125">
        <f t="shared" si="119"/>
        <v>16989.142857142855</v>
      </c>
      <c r="O78" s="52">
        <f>SUM(C78:N78)</f>
        <v>504737.14285714272</v>
      </c>
      <c r="P78" s="52">
        <f>O78/12</f>
        <v>42061.428571428558</v>
      </c>
      <c r="Q78" s="125">
        <f t="shared" ref="Q78:AB78" si="120">SUM(Q76:Q77)</f>
        <v>74038.411428571446</v>
      </c>
      <c r="R78" s="36">
        <f t="shared" si="120"/>
        <v>75542.748571428587</v>
      </c>
      <c r="S78" s="36">
        <f t="shared" si="120"/>
        <v>108638.16571428569</v>
      </c>
      <c r="T78" s="36">
        <f t="shared" si="120"/>
        <v>81560.097142857121</v>
      </c>
      <c r="U78" s="36">
        <f t="shared" si="120"/>
        <v>77047.085714285728</v>
      </c>
      <c r="V78" s="36">
        <f t="shared" si="120"/>
        <v>49969.017142857163</v>
      </c>
      <c r="W78" s="36">
        <f t="shared" si="120"/>
        <v>51473.354285714304</v>
      </c>
      <c r="X78" s="125">
        <f t="shared" si="120"/>
        <v>39438.657142857148</v>
      </c>
      <c r="Y78" s="125">
        <f t="shared" si="120"/>
        <v>65012.388571428572</v>
      </c>
      <c r="Z78" s="125">
        <f t="shared" si="120"/>
        <v>42447.33142857143</v>
      </c>
      <c r="AA78" s="125">
        <f t="shared" si="120"/>
        <v>46960.342857142852</v>
      </c>
      <c r="AB78" s="125">
        <f t="shared" si="120"/>
        <v>31916.971428571414</v>
      </c>
      <c r="AC78" s="52">
        <f>SUM(Q78:AB78)</f>
        <v>744044.57142857148</v>
      </c>
      <c r="AD78" s="52">
        <f>AC78/12</f>
        <v>62003.71428571429</v>
      </c>
      <c r="AE78" s="125">
        <f t="shared" ref="AE78:AP78" si="121">SUM(AE76:AE77)</f>
        <v>95986.479999999981</v>
      </c>
      <c r="AF78" s="36">
        <f t="shared" si="121"/>
        <v>97741.540000000037</v>
      </c>
      <c r="AG78" s="36">
        <f t="shared" si="121"/>
        <v>136352.85999999999</v>
      </c>
      <c r="AH78" s="36">
        <f t="shared" si="121"/>
        <v>104761.78</v>
      </c>
      <c r="AI78" s="36">
        <f t="shared" si="121"/>
        <v>99496.6</v>
      </c>
      <c r="AJ78" s="36">
        <f t="shared" si="121"/>
        <v>67905.520000000019</v>
      </c>
      <c r="AK78" s="36">
        <f t="shared" si="121"/>
        <v>69660.579999999987</v>
      </c>
      <c r="AL78" s="125">
        <f t="shared" si="121"/>
        <v>55620.100000000006</v>
      </c>
      <c r="AM78" s="125">
        <f t="shared" si="121"/>
        <v>85456.12</v>
      </c>
      <c r="AN78" s="125">
        <f t="shared" si="121"/>
        <v>59130.22</v>
      </c>
      <c r="AO78" s="125">
        <f t="shared" si="121"/>
        <v>64395.399999999994</v>
      </c>
      <c r="AP78" s="125">
        <f t="shared" si="121"/>
        <v>46844.799999999988</v>
      </c>
      <c r="AQ78" s="52">
        <f>SUM(AE78:AP78)</f>
        <v>983352</v>
      </c>
      <c r="AR78" s="52">
        <f>AQ78/12</f>
        <v>81946</v>
      </c>
      <c r="AS78" s="124">
        <f>O78+AC78+AQ78</f>
        <v>2232133.7142857141</v>
      </c>
    </row>
    <row r="79" spans="1:45" s="35" customFormat="1" ht="10.5" x14ac:dyDescent="0.35">
      <c r="A79" s="188" t="s">
        <v>16</v>
      </c>
      <c r="B79" s="24" t="str">
        <f>CHOOSE('Исходные данные'!$O$2,'Исходные данные'!$P$2,'Исходные данные'!$P$3,'Исходные данные'!$P$4,'Исходные данные'!$P$5)</f>
        <v>UAH</v>
      </c>
      <c r="C79" s="125">
        <f t="shared" ref="C79:N79" si="122">-(C39)</f>
        <v>-1904000</v>
      </c>
      <c r="D79" s="125">
        <f t="shared" si="122"/>
        <v>0</v>
      </c>
      <c r="E79" s="125">
        <f t="shared" si="122"/>
        <v>0</v>
      </c>
      <c r="F79" s="125">
        <f t="shared" si="122"/>
        <v>0</v>
      </c>
      <c r="G79" s="125">
        <f t="shared" si="122"/>
        <v>0</v>
      </c>
      <c r="H79" s="125">
        <f t="shared" si="122"/>
        <v>0</v>
      </c>
      <c r="I79" s="125">
        <f t="shared" si="122"/>
        <v>0</v>
      </c>
      <c r="J79" s="125">
        <f t="shared" si="122"/>
        <v>0</v>
      </c>
      <c r="K79" s="125">
        <f t="shared" si="122"/>
        <v>0</v>
      </c>
      <c r="L79" s="125">
        <f t="shared" si="122"/>
        <v>0</v>
      </c>
      <c r="M79" s="125">
        <f t="shared" si="122"/>
        <v>0</v>
      </c>
      <c r="N79" s="125">
        <f t="shared" si="122"/>
        <v>0</v>
      </c>
      <c r="O79" s="52">
        <f>SUM(C79:N79)</f>
        <v>-1904000</v>
      </c>
      <c r="P79" s="52"/>
      <c r="Q79" s="125">
        <f t="shared" ref="Q79:AB79" si="123">-(Q39)</f>
        <v>0</v>
      </c>
      <c r="R79" s="125">
        <f t="shared" si="123"/>
        <v>0</v>
      </c>
      <c r="S79" s="125">
        <f t="shared" si="123"/>
        <v>0</v>
      </c>
      <c r="T79" s="125">
        <f t="shared" si="123"/>
        <v>0</v>
      </c>
      <c r="U79" s="125">
        <f t="shared" si="123"/>
        <v>0</v>
      </c>
      <c r="V79" s="125">
        <f t="shared" si="123"/>
        <v>0</v>
      </c>
      <c r="W79" s="125">
        <f t="shared" si="123"/>
        <v>0</v>
      </c>
      <c r="X79" s="125">
        <f t="shared" si="123"/>
        <v>0</v>
      </c>
      <c r="Y79" s="125">
        <f t="shared" si="123"/>
        <v>0</v>
      </c>
      <c r="Z79" s="125">
        <f t="shared" si="123"/>
        <v>0</v>
      </c>
      <c r="AA79" s="125">
        <f t="shared" si="123"/>
        <v>0</v>
      </c>
      <c r="AB79" s="125">
        <f t="shared" si="123"/>
        <v>0</v>
      </c>
      <c r="AC79" s="52">
        <f>SUM(Q79:AB79)</f>
        <v>0</v>
      </c>
      <c r="AD79" s="52"/>
      <c r="AE79" s="125">
        <f t="shared" ref="AE79:AP79" si="124">-(AE39)</f>
        <v>0</v>
      </c>
      <c r="AF79" s="125">
        <f t="shared" si="124"/>
        <v>0</v>
      </c>
      <c r="AG79" s="125">
        <f t="shared" si="124"/>
        <v>0</v>
      </c>
      <c r="AH79" s="125">
        <f t="shared" si="124"/>
        <v>0</v>
      </c>
      <c r="AI79" s="125">
        <f t="shared" si="124"/>
        <v>0</v>
      </c>
      <c r="AJ79" s="125">
        <f t="shared" si="124"/>
        <v>0</v>
      </c>
      <c r="AK79" s="125">
        <f t="shared" si="124"/>
        <v>0</v>
      </c>
      <c r="AL79" s="125">
        <f t="shared" si="124"/>
        <v>0</v>
      </c>
      <c r="AM79" s="125">
        <f t="shared" si="124"/>
        <v>0</v>
      </c>
      <c r="AN79" s="125">
        <f t="shared" si="124"/>
        <v>0</v>
      </c>
      <c r="AO79" s="125">
        <f t="shared" si="124"/>
        <v>0</v>
      </c>
      <c r="AP79" s="125">
        <f t="shared" si="124"/>
        <v>0</v>
      </c>
      <c r="AQ79" s="52">
        <f>SUM(AE79:AP79)</f>
        <v>0</v>
      </c>
      <c r="AR79" s="52"/>
      <c r="AS79" s="124">
        <f>O79+AC79+AQ79</f>
        <v>-1904000</v>
      </c>
    </row>
    <row r="80" spans="1:45" s="67" customFormat="1" ht="10.5" x14ac:dyDescent="0.35">
      <c r="A80" s="188" t="s">
        <v>17</v>
      </c>
      <c r="B80" s="65" t="str">
        <f>CHOOSE('Исходные данные'!$O$2,'Исходные данные'!$P$2,'Исходные данные'!$P$3,'Исходные данные'!$P$4,'Исходные данные'!$P$5)</f>
        <v>UAH</v>
      </c>
      <c r="C80" s="123">
        <f t="shared" ref="C80:N80" si="125">C39</f>
        <v>1904000</v>
      </c>
      <c r="D80" s="123">
        <f t="shared" si="125"/>
        <v>0</v>
      </c>
      <c r="E80" s="123">
        <f t="shared" si="125"/>
        <v>0</v>
      </c>
      <c r="F80" s="123">
        <f t="shared" si="125"/>
        <v>0</v>
      </c>
      <c r="G80" s="123">
        <f t="shared" si="125"/>
        <v>0</v>
      </c>
      <c r="H80" s="123">
        <f t="shared" si="125"/>
        <v>0</v>
      </c>
      <c r="I80" s="123">
        <f t="shared" si="125"/>
        <v>0</v>
      </c>
      <c r="J80" s="123">
        <f t="shared" si="125"/>
        <v>0</v>
      </c>
      <c r="K80" s="123">
        <f t="shared" si="125"/>
        <v>0</v>
      </c>
      <c r="L80" s="123">
        <f t="shared" si="125"/>
        <v>0</v>
      </c>
      <c r="M80" s="123">
        <f t="shared" si="125"/>
        <v>0</v>
      </c>
      <c r="N80" s="123">
        <f t="shared" si="125"/>
        <v>0</v>
      </c>
      <c r="O80" s="52">
        <f>SUM(C80:N80)</f>
        <v>1904000</v>
      </c>
      <c r="P80" s="52"/>
      <c r="Q80" s="123">
        <f t="shared" ref="Q80:AB80" si="126">Q39</f>
        <v>0</v>
      </c>
      <c r="R80" s="123">
        <f t="shared" si="126"/>
        <v>0</v>
      </c>
      <c r="S80" s="123">
        <f t="shared" si="126"/>
        <v>0</v>
      </c>
      <c r="T80" s="123">
        <f t="shared" si="126"/>
        <v>0</v>
      </c>
      <c r="U80" s="123">
        <f t="shared" si="126"/>
        <v>0</v>
      </c>
      <c r="V80" s="123">
        <f t="shared" si="126"/>
        <v>0</v>
      </c>
      <c r="W80" s="123">
        <f t="shared" si="126"/>
        <v>0</v>
      </c>
      <c r="X80" s="123">
        <f t="shared" si="126"/>
        <v>0</v>
      </c>
      <c r="Y80" s="123">
        <f t="shared" si="126"/>
        <v>0</v>
      </c>
      <c r="Z80" s="123">
        <f t="shared" si="126"/>
        <v>0</v>
      </c>
      <c r="AA80" s="123">
        <f t="shared" si="126"/>
        <v>0</v>
      </c>
      <c r="AB80" s="123">
        <f t="shared" si="126"/>
        <v>0</v>
      </c>
      <c r="AC80" s="52">
        <f>SUM(Q80:AB80)</f>
        <v>0</v>
      </c>
      <c r="AD80" s="52"/>
      <c r="AE80" s="123">
        <f t="shared" ref="AE80:AP80" si="127">AE39</f>
        <v>0</v>
      </c>
      <c r="AF80" s="123">
        <f t="shared" si="127"/>
        <v>0</v>
      </c>
      <c r="AG80" s="123">
        <f t="shared" si="127"/>
        <v>0</v>
      </c>
      <c r="AH80" s="123">
        <f t="shared" si="127"/>
        <v>0</v>
      </c>
      <c r="AI80" s="123">
        <f t="shared" si="127"/>
        <v>0</v>
      </c>
      <c r="AJ80" s="123">
        <f t="shared" si="127"/>
        <v>0</v>
      </c>
      <c r="AK80" s="123">
        <f t="shared" si="127"/>
        <v>0</v>
      </c>
      <c r="AL80" s="123">
        <f t="shared" si="127"/>
        <v>0</v>
      </c>
      <c r="AM80" s="123">
        <f t="shared" si="127"/>
        <v>0</v>
      </c>
      <c r="AN80" s="123">
        <f t="shared" si="127"/>
        <v>0</v>
      </c>
      <c r="AO80" s="123">
        <f t="shared" si="127"/>
        <v>0</v>
      </c>
      <c r="AP80" s="123">
        <f t="shared" si="127"/>
        <v>0</v>
      </c>
      <c r="AQ80" s="52">
        <f>SUM(AE80:AP80)</f>
        <v>0</v>
      </c>
      <c r="AR80" s="52"/>
      <c r="AS80" s="122">
        <f>O80+AC80+AQ80</f>
        <v>1904000</v>
      </c>
    </row>
    <row r="81" spans="1:45" s="35" customFormat="1" ht="10.5" x14ac:dyDescent="0.35">
      <c r="A81" s="188" t="s">
        <v>18</v>
      </c>
      <c r="B81" s="24" t="str">
        <f>CHOOSE('Исходные данные'!$O$2,'Исходные данные'!$P$2,'Исходные данные'!$P$3,'Исходные данные'!$P$4,'Исходные данные'!$P$5)</f>
        <v>UAH</v>
      </c>
      <c r="C81" s="125">
        <v>0</v>
      </c>
      <c r="D81" s="36">
        <f>C82</f>
        <v>52090.34285714291</v>
      </c>
      <c r="E81" s="36">
        <f t="shared" ref="E81:N81" si="128">D82</f>
        <v>105434.30000000005</v>
      </c>
      <c r="F81" s="36">
        <f t="shared" si="128"/>
        <v>186357.77142857146</v>
      </c>
      <c r="G81" s="36">
        <f t="shared" si="128"/>
        <v>244716.18571428573</v>
      </c>
      <c r="H81" s="36">
        <f t="shared" si="128"/>
        <v>299313.75714285718</v>
      </c>
      <c r="I81" s="36">
        <f t="shared" si="128"/>
        <v>331346.27142857149</v>
      </c>
      <c r="J81" s="125">
        <f t="shared" si="128"/>
        <v>364632.4</v>
      </c>
      <c r="K81" s="125">
        <f t="shared" si="128"/>
        <v>387889.61428571434</v>
      </c>
      <c r="L81" s="125">
        <f t="shared" si="128"/>
        <v>432458.27142857149</v>
      </c>
      <c r="M81" s="125">
        <f t="shared" si="128"/>
        <v>458222.71428571432</v>
      </c>
      <c r="N81" s="125">
        <f t="shared" si="128"/>
        <v>487748</v>
      </c>
      <c r="O81" s="126">
        <f>C81</f>
        <v>0</v>
      </c>
      <c r="P81" s="126"/>
      <c r="Q81" s="125">
        <f>N82</f>
        <v>504737.14285714284</v>
      </c>
      <c r="R81" s="36">
        <f t="shared" ref="R81:AB81" si="129">Q82</f>
        <v>578775.55428571429</v>
      </c>
      <c r="S81" s="36">
        <f t="shared" si="129"/>
        <v>654318.30285714287</v>
      </c>
      <c r="T81" s="36">
        <f t="shared" si="129"/>
        <v>762956.46857142856</v>
      </c>
      <c r="U81" s="36">
        <f t="shared" si="129"/>
        <v>844516.56571428571</v>
      </c>
      <c r="V81" s="36">
        <f t="shared" si="129"/>
        <v>921563.65142857144</v>
      </c>
      <c r="W81" s="36">
        <f t="shared" si="129"/>
        <v>971532.66857142863</v>
      </c>
      <c r="X81" s="125">
        <f t="shared" si="129"/>
        <v>1023006.022857143</v>
      </c>
      <c r="Y81" s="125">
        <f t="shared" si="129"/>
        <v>1062444.6800000002</v>
      </c>
      <c r="Z81" s="125">
        <f t="shared" si="129"/>
        <v>1127457.0685714288</v>
      </c>
      <c r="AA81" s="125">
        <f t="shared" si="129"/>
        <v>1169904.4000000001</v>
      </c>
      <c r="AB81" s="125">
        <f t="shared" si="129"/>
        <v>1216864.7428571431</v>
      </c>
      <c r="AC81" s="126">
        <f>Q81</f>
        <v>504737.14285714284</v>
      </c>
      <c r="AD81" s="126"/>
      <c r="AE81" s="125">
        <f>AB82</f>
        <v>1248781.7142857146</v>
      </c>
      <c r="AF81" s="36">
        <f t="shared" ref="AF81:AP81" si="130">AE82</f>
        <v>1344768.1942857145</v>
      </c>
      <c r="AG81" s="36">
        <f t="shared" si="130"/>
        <v>1442509.7342857146</v>
      </c>
      <c r="AH81" s="36">
        <f t="shared" si="130"/>
        <v>1578862.5942857144</v>
      </c>
      <c r="AI81" s="36">
        <f t="shared" si="130"/>
        <v>1683624.3742857145</v>
      </c>
      <c r="AJ81" s="36">
        <f t="shared" si="130"/>
        <v>1783120.9742857146</v>
      </c>
      <c r="AK81" s="36">
        <f t="shared" si="130"/>
        <v>1851026.4942857146</v>
      </c>
      <c r="AL81" s="125">
        <f t="shared" si="130"/>
        <v>1920687.0742857147</v>
      </c>
      <c r="AM81" s="125">
        <f t="shared" si="130"/>
        <v>1976307.1742857147</v>
      </c>
      <c r="AN81" s="125">
        <f t="shared" si="130"/>
        <v>2061763.2942857146</v>
      </c>
      <c r="AO81" s="125">
        <f t="shared" si="130"/>
        <v>2120893.5142857148</v>
      </c>
      <c r="AP81" s="125">
        <f t="shared" si="130"/>
        <v>2185288.9142857147</v>
      </c>
      <c r="AQ81" s="126">
        <f>AE81</f>
        <v>1248781.7142857146</v>
      </c>
      <c r="AR81" s="126"/>
      <c r="AS81" s="124">
        <f>O81</f>
        <v>0</v>
      </c>
    </row>
    <row r="82" spans="1:45" s="35" customFormat="1" ht="10.5" x14ac:dyDescent="0.35">
      <c r="A82" s="188" t="s">
        <v>19</v>
      </c>
      <c r="B82" s="24" t="str">
        <f>CHOOSE('Исходные данные'!$O$2,'Исходные данные'!$P$2,'Исходные данные'!$P$3,'Исходные данные'!$P$4,'Исходные данные'!$P$5)</f>
        <v>UAH</v>
      </c>
      <c r="C82" s="125">
        <f>C78+C79+C80+C81</f>
        <v>52090.34285714291</v>
      </c>
      <c r="D82" s="36">
        <f>D78+D79+D80+D81</f>
        <v>105434.30000000005</v>
      </c>
      <c r="E82" s="36">
        <f t="shared" ref="E82:N82" si="131">E78+E79+E80+E81</f>
        <v>186357.77142857146</v>
      </c>
      <c r="F82" s="36">
        <f t="shared" si="131"/>
        <v>244716.18571428573</v>
      </c>
      <c r="G82" s="36">
        <f t="shared" si="131"/>
        <v>299313.75714285718</v>
      </c>
      <c r="H82" s="36">
        <f t="shared" si="131"/>
        <v>331346.27142857149</v>
      </c>
      <c r="I82" s="36">
        <f t="shared" si="131"/>
        <v>364632.4</v>
      </c>
      <c r="J82" s="125">
        <f t="shared" si="131"/>
        <v>387889.61428571434</v>
      </c>
      <c r="K82" s="125">
        <f t="shared" si="131"/>
        <v>432458.27142857149</v>
      </c>
      <c r="L82" s="125">
        <f t="shared" si="131"/>
        <v>458222.71428571432</v>
      </c>
      <c r="M82" s="125">
        <f t="shared" si="131"/>
        <v>487748</v>
      </c>
      <c r="N82" s="125">
        <f t="shared" si="131"/>
        <v>504737.14285714284</v>
      </c>
      <c r="O82" s="126">
        <f>N82</f>
        <v>504737.14285714284</v>
      </c>
      <c r="P82" s="126"/>
      <c r="Q82" s="125">
        <f>Q78+Q79+Q80+Q81</f>
        <v>578775.55428571429</v>
      </c>
      <c r="R82" s="36">
        <f>R78+R79+R80+R81</f>
        <v>654318.30285714287</v>
      </c>
      <c r="S82" s="36">
        <f t="shared" ref="S82:AB82" si="132">S78+S79+S80+S81</f>
        <v>762956.46857142856</v>
      </c>
      <c r="T82" s="36">
        <f t="shared" si="132"/>
        <v>844516.56571428571</v>
      </c>
      <c r="U82" s="36">
        <f t="shared" si="132"/>
        <v>921563.65142857144</v>
      </c>
      <c r="V82" s="36">
        <f t="shared" si="132"/>
        <v>971532.66857142863</v>
      </c>
      <c r="W82" s="36">
        <f t="shared" si="132"/>
        <v>1023006.022857143</v>
      </c>
      <c r="X82" s="125">
        <f t="shared" si="132"/>
        <v>1062444.6800000002</v>
      </c>
      <c r="Y82" s="125">
        <f t="shared" si="132"/>
        <v>1127457.0685714288</v>
      </c>
      <c r="Z82" s="125">
        <f t="shared" si="132"/>
        <v>1169904.4000000001</v>
      </c>
      <c r="AA82" s="125">
        <f t="shared" si="132"/>
        <v>1216864.7428571431</v>
      </c>
      <c r="AB82" s="125">
        <f t="shared" si="132"/>
        <v>1248781.7142857146</v>
      </c>
      <c r="AC82" s="126">
        <f>AB82</f>
        <v>1248781.7142857146</v>
      </c>
      <c r="AD82" s="126"/>
      <c r="AE82" s="125">
        <f>AE78+AE79+AE80+AE81</f>
        <v>1344768.1942857145</v>
      </c>
      <c r="AF82" s="36">
        <f>AF78+AF79+AF80+AF81</f>
        <v>1442509.7342857146</v>
      </c>
      <c r="AG82" s="36">
        <f t="shared" ref="AG82:AP82" si="133">AG78+AG79+AG80+AG81</f>
        <v>1578862.5942857144</v>
      </c>
      <c r="AH82" s="36">
        <f t="shared" si="133"/>
        <v>1683624.3742857145</v>
      </c>
      <c r="AI82" s="36">
        <f t="shared" si="133"/>
        <v>1783120.9742857146</v>
      </c>
      <c r="AJ82" s="36">
        <f t="shared" si="133"/>
        <v>1851026.4942857146</v>
      </c>
      <c r="AK82" s="36">
        <f t="shared" si="133"/>
        <v>1920687.0742857147</v>
      </c>
      <c r="AL82" s="125">
        <f t="shared" si="133"/>
        <v>1976307.1742857147</v>
      </c>
      <c r="AM82" s="125">
        <f t="shared" si="133"/>
        <v>2061763.2942857146</v>
      </c>
      <c r="AN82" s="125">
        <f t="shared" si="133"/>
        <v>2120893.5142857148</v>
      </c>
      <c r="AO82" s="125">
        <f t="shared" si="133"/>
        <v>2185288.9142857147</v>
      </c>
      <c r="AP82" s="125">
        <f t="shared" si="133"/>
        <v>2232133.7142857146</v>
      </c>
      <c r="AQ82" s="126">
        <f>AP82</f>
        <v>2232133.7142857146</v>
      </c>
      <c r="AR82" s="126"/>
      <c r="AS82" s="124">
        <f>AQ82</f>
        <v>2232133.7142857146</v>
      </c>
    </row>
    <row r="83" spans="1:45" s="20" customFormat="1" ht="10.8" thickBot="1" x14ac:dyDescent="0.45">
      <c r="O83" s="55"/>
      <c r="P83" s="55"/>
      <c r="AC83" s="55"/>
      <c r="AD83" s="55"/>
      <c r="AQ83" s="55"/>
      <c r="AR83" s="55"/>
    </row>
    <row r="84" spans="1:45" s="20" customFormat="1" ht="11.1" thickTop="1" thickBot="1" x14ac:dyDescent="0.4">
      <c r="A84" s="18" t="s">
        <v>20</v>
      </c>
      <c r="B84" s="19"/>
      <c r="C84" s="19" t="str">
        <f t="shared" ref="C84:AP84" si="134">C$6</f>
        <v>январь</v>
      </c>
      <c r="D84" s="19" t="str">
        <f t="shared" si="134"/>
        <v>февраль</v>
      </c>
      <c r="E84" s="19" t="str">
        <f t="shared" si="134"/>
        <v>март</v>
      </c>
      <c r="F84" s="19" t="str">
        <f t="shared" si="134"/>
        <v>апрель</v>
      </c>
      <c r="G84" s="19" t="str">
        <f t="shared" si="134"/>
        <v>май</v>
      </c>
      <c r="H84" s="19" t="str">
        <f t="shared" si="134"/>
        <v>июнь</v>
      </c>
      <c r="I84" s="19" t="str">
        <f t="shared" si="134"/>
        <v>июль</v>
      </c>
      <c r="J84" s="19" t="str">
        <f t="shared" si="134"/>
        <v>август</v>
      </c>
      <c r="K84" s="19" t="str">
        <f t="shared" si="134"/>
        <v>сентябрь</v>
      </c>
      <c r="L84" s="19" t="str">
        <f t="shared" si="134"/>
        <v>октябрь</v>
      </c>
      <c r="M84" s="19" t="str">
        <f t="shared" si="134"/>
        <v>ноябрь</v>
      </c>
      <c r="N84" s="19" t="str">
        <f t="shared" si="134"/>
        <v>декабрь</v>
      </c>
      <c r="O84" s="111"/>
      <c r="P84" s="111"/>
      <c r="Q84" s="19" t="str">
        <f t="shared" si="134"/>
        <v>январь</v>
      </c>
      <c r="R84" s="19" t="str">
        <f t="shared" si="134"/>
        <v>февраль</v>
      </c>
      <c r="S84" s="19" t="str">
        <f t="shared" si="134"/>
        <v>март</v>
      </c>
      <c r="T84" s="19" t="str">
        <f t="shared" si="134"/>
        <v>апрель</v>
      </c>
      <c r="U84" s="19" t="str">
        <f t="shared" si="134"/>
        <v>май</v>
      </c>
      <c r="V84" s="19" t="str">
        <f t="shared" si="134"/>
        <v>июнь</v>
      </c>
      <c r="W84" s="19" t="str">
        <f t="shared" si="134"/>
        <v>июль</v>
      </c>
      <c r="X84" s="19" t="str">
        <f t="shared" si="134"/>
        <v>август</v>
      </c>
      <c r="Y84" s="19" t="str">
        <f t="shared" si="134"/>
        <v>сентябрь</v>
      </c>
      <c r="Z84" s="19" t="str">
        <f t="shared" si="134"/>
        <v>октябрь</v>
      </c>
      <c r="AA84" s="19" t="str">
        <f t="shared" si="134"/>
        <v>ноябрь</v>
      </c>
      <c r="AB84" s="19" t="str">
        <f t="shared" si="134"/>
        <v>декабрь</v>
      </c>
      <c r="AC84" s="111"/>
      <c r="AD84" s="111"/>
      <c r="AE84" s="19" t="str">
        <f t="shared" si="134"/>
        <v>январь</v>
      </c>
      <c r="AF84" s="19" t="str">
        <f t="shared" si="134"/>
        <v>февраль</v>
      </c>
      <c r="AG84" s="19" t="str">
        <f t="shared" si="134"/>
        <v>март</v>
      </c>
      <c r="AH84" s="19" t="str">
        <f t="shared" si="134"/>
        <v>апрель</v>
      </c>
      <c r="AI84" s="19" t="str">
        <f t="shared" si="134"/>
        <v>май</v>
      </c>
      <c r="AJ84" s="19" t="str">
        <f t="shared" si="134"/>
        <v>июнь</v>
      </c>
      <c r="AK84" s="19" t="str">
        <f t="shared" si="134"/>
        <v>июль</v>
      </c>
      <c r="AL84" s="19" t="str">
        <f t="shared" si="134"/>
        <v>август</v>
      </c>
      <c r="AM84" s="19" t="str">
        <f t="shared" si="134"/>
        <v>сентябрь</v>
      </c>
      <c r="AN84" s="19" t="str">
        <f t="shared" si="134"/>
        <v>октябрь</v>
      </c>
      <c r="AO84" s="19" t="str">
        <f t="shared" si="134"/>
        <v>ноябрь</v>
      </c>
      <c r="AP84" s="19" t="str">
        <f t="shared" si="134"/>
        <v>декабрь</v>
      </c>
      <c r="AQ84" s="111"/>
      <c r="AR84" s="111"/>
      <c r="AS84" s="19"/>
    </row>
    <row r="85" spans="1:45" s="20" customFormat="1" ht="14.1" thickTop="1" x14ac:dyDescent="0.4">
      <c r="A85" s="44"/>
      <c r="B85" s="45"/>
      <c r="C85" s="44"/>
      <c r="D85" s="44"/>
      <c r="E85" s="44"/>
      <c r="F85" s="44"/>
      <c r="G85" s="44"/>
      <c r="H85" s="44"/>
      <c r="I85" s="46"/>
      <c r="O85" s="55"/>
      <c r="P85" s="55"/>
      <c r="Q85" s="44"/>
      <c r="R85" s="44"/>
      <c r="S85" s="44"/>
      <c r="T85" s="44"/>
      <c r="U85" s="44"/>
      <c r="V85" s="44"/>
      <c r="W85" s="46"/>
      <c r="AC85" s="55"/>
      <c r="AD85" s="55"/>
      <c r="AE85" s="44"/>
      <c r="AF85" s="44"/>
      <c r="AG85" s="44"/>
      <c r="AH85" s="44"/>
      <c r="AI85" s="44"/>
      <c r="AJ85" s="44"/>
      <c r="AK85" s="46"/>
      <c r="AQ85" s="55"/>
      <c r="AR85" s="55"/>
      <c r="AS85" s="47"/>
    </row>
    <row r="86" spans="1:45" s="49" customFormat="1" ht="10.5" x14ac:dyDescent="0.35">
      <c r="A86" s="48" t="s">
        <v>100</v>
      </c>
      <c r="B86" s="173">
        <f>'Исходные данные'!J63</f>
        <v>0.1</v>
      </c>
      <c r="C86" s="171">
        <f>1/POWER((1+$B$86/12),C87)</f>
        <v>1</v>
      </c>
      <c r="D86" s="171">
        <f t="shared" ref="D86:N86" si="135">1/POWER((1+$B$86/12),D87)</f>
        <v>0.99173553719008267</v>
      </c>
      <c r="E86" s="171">
        <f t="shared" si="135"/>
        <v>0.98353937572570183</v>
      </c>
      <c r="F86" s="171">
        <f t="shared" si="135"/>
        <v>0.97541095113292753</v>
      </c>
      <c r="G86" s="171">
        <f t="shared" si="135"/>
        <v>0.9673497036029034</v>
      </c>
      <c r="H86" s="171">
        <f t="shared" si="135"/>
        <v>0.95935507795329267</v>
      </c>
      <c r="I86" s="171">
        <f t="shared" si="135"/>
        <v>0.95142652359004232</v>
      </c>
      <c r="J86" s="171">
        <f t="shared" si="135"/>
        <v>0.94356349446946353</v>
      </c>
      <c r="K86" s="171">
        <f t="shared" si="135"/>
        <v>0.93576544906062498</v>
      </c>
      <c r="L86" s="171">
        <f t="shared" si="135"/>
        <v>0.9280318503080579</v>
      </c>
      <c r="M86" s="171">
        <f t="shared" si="135"/>
        <v>0.92036216559476813</v>
      </c>
      <c r="N86" s="171">
        <f t="shared" si="135"/>
        <v>0.91275586670555531</v>
      </c>
      <c r="O86" s="112"/>
      <c r="P86" s="112"/>
      <c r="Q86" s="171">
        <f t="shared" ref="Q86:AB86" si="136">1/POWER((1+$B$86/12),Q87)</f>
        <v>0.90521242979063321</v>
      </c>
      <c r="R86" s="171">
        <f t="shared" si="136"/>
        <v>0.89773133532955385</v>
      </c>
      <c r="S86" s="171">
        <f t="shared" si="136"/>
        <v>0.89031206809542529</v>
      </c>
      <c r="T86" s="171">
        <f t="shared" si="136"/>
        <v>0.88295411711943006</v>
      </c>
      <c r="U86" s="171">
        <f t="shared" si="136"/>
        <v>0.87565697565563305</v>
      </c>
      <c r="V86" s="171">
        <f t="shared" si="136"/>
        <v>0.86842014114608246</v>
      </c>
      <c r="W86" s="171">
        <f t="shared" si="136"/>
        <v>0.86124311518619745</v>
      </c>
      <c r="X86" s="171">
        <f t="shared" si="136"/>
        <v>0.85412540349044375</v>
      </c>
      <c r="Y86" s="171">
        <f t="shared" si="136"/>
        <v>0.84706651585829151</v>
      </c>
      <c r="Z86" s="171">
        <f t="shared" si="136"/>
        <v>0.84006596614045448</v>
      </c>
      <c r="AA86" s="171">
        <f t="shared" si="136"/>
        <v>0.83312327220540916</v>
      </c>
      <c r="AB86" s="171">
        <f t="shared" si="136"/>
        <v>0.82623795590619109</v>
      </c>
      <c r="AC86" s="112"/>
      <c r="AD86" s="112"/>
      <c r="AE86" s="171">
        <f t="shared" ref="AE86:AP86" si="137">1/POWER((1+$B$86/12),AE87)</f>
        <v>0.81940954304746227</v>
      </c>
      <c r="AF86" s="171">
        <f t="shared" si="137"/>
        <v>0.81263756335285531</v>
      </c>
      <c r="AG86" s="171">
        <f t="shared" si="137"/>
        <v>0.80592155043258373</v>
      </c>
      <c r="AH86" s="171">
        <f t="shared" si="137"/>
        <v>0.79926104175132262</v>
      </c>
      <c r="AI86" s="171">
        <f t="shared" si="137"/>
        <v>0.79265557859635305</v>
      </c>
      <c r="AJ86" s="171">
        <f t="shared" si="137"/>
        <v>0.78610470604597016</v>
      </c>
      <c r="AK86" s="171">
        <f t="shared" si="137"/>
        <v>0.77960797293815209</v>
      </c>
      <c r="AL86" s="171">
        <f t="shared" si="137"/>
        <v>0.77316493183948976</v>
      </c>
      <c r="AM86" s="171">
        <f t="shared" si="137"/>
        <v>0.76677513901437</v>
      </c>
      <c r="AN86" s="171">
        <f t="shared" si="137"/>
        <v>0.76043815439441664</v>
      </c>
      <c r="AO86" s="171">
        <f t="shared" si="137"/>
        <v>0.75415354154818171</v>
      </c>
      <c r="AP86" s="171">
        <f t="shared" si="137"/>
        <v>0.74792086765108945</v>
      </c>
      <c r="AQ86" s="112"/>
      <c r="AR86" s="112"/>
      <c r="AS86" s="50"/>
    </row>
    <row r="87" spans="1:45" s="177" customFormat="1" ht="10.5" hidden="1" x14ac:dyDescent="0.4">
      <c r="A87" s="172"/>
      <c r="B87" s="173"/>
      <c r="C87" s="174">
        <v>0</v>
      </c>
      <c r="D87" s="174">
        <v>1</v>
      </c>
      <c r="E87" s="174">
        <v>2</v>
      </c>
      <c r="F87" s="174">
        <v>3</v>
      </c>
      <c r="G87" s="174">
        <v>4</v>
      </c>
      <c r="H87" s="174">
        <v>5</v>
      </c>
      <c r="I87" s="174">
        <v>6</v>
      </c>
      <c r="J87" s="174">
        <v>7</v>
      </c>
      <c r="K87" s="174">
        <v>8</v>
      </c>
      <c r="L87" s="174">
        <v>9</v>
      </c>
      <c r="M87" s="174">
        <v>10</v>
      </c>
      <c r="N87" s="174">
        <v>11</v>
      </c>
      <c r="O87" s="175"/>
      <c r="P87" s="175"/>
      <c r="Q87" s="174">
        <v>12</v>
      </c>
      <c r="R87" s="174">
        <v>13</v>
      </c>
      <c r="S87" s="174">
        <v>14</v>
      </c>
      <c r="T87" s="174">
        <v>15</v>
      </c>
      <c r="U87" s="174">
        <v>16</v>
      </c>
      <c r="V87" s="174">
        <v>17</v>
      </c>
      <c r="W87" s="174">
        <v>18</v>
      </c>
      <c r="X87" s="174">
        <v>19</v>
      </c>
      <c r="Y87" s="174">
        <v>20</v>
      </c>
      <c r="Z87" s="174">
        <v>21</v>
      </c>
      <c r="AA87" s="174">
        <v>22</v>
      </c>
      <c r="AB87" s="174">
        <v>23</v>
      </c>
      <c r="AC87" s="175"/>
      <c r="AD87" s="175"/>
      <c r="AE87" s="174">
        <v>24</v>
      </c>
      <c r="AF87" s="174">
        <v>25</v>
      </c>
      <c r="AG87" s="174">
        <v>26</v>
      </c>
      <c r="AH87" s="174">
        <v>27</v>
      </c>
      <c r="AI87" s="174">
        <v>28</v>
      </c>
      <c r="AJ87" s="174">
        <v>29</v>
      </c>
      <c r="AK87" s="174">
        <v>30</v>
      </c>
      <c r="AL87" s="174">
        <v>31</v>
      </c>
      <c r="AM87" s="174">
        <v>32</v>
      </c>
      <c r="AN87" s="174">
        <v>33</v>
      </c>
      <c r="AO87" s="174">
        <v>34</v>
      </c>
      <c r="AP87" s="174">
        <v>35</v>
      </c>
      <c r="AQ87" s="175"/>
      <c r="AR87" s="175"/>
      <c r="AS87" s="176"/>
    </row>
    <row r="88" spans="1:45" s="177" customFormat="1" ht="10.5" x14ac:dyDescent="0.35">
      <c r="A88" s="185" t="str">
        <f>"Чистый денежный поток (NCF), "&amp;CHOOSE('Исходные данные'!$O$2,'Исходные данные'!$P$2,'Исходные данные'!$P$3,'Исходные данные'!$P$4,'Исходные данные'!$P$5)&amp;""</f>
        <v>Чистый денежный поток (NCF), UAH</v>
      </c>
      <c r="B88" s="173"/>
      <c r="C88" s="36">
        <f>C72</f>
        <v>52090.342857142838</v>
      </c>
      <c r="D88" s="36">
        <f t="shared" ref="D88:N88" si="138">D72</f>
        <v>53343.957142857136</v>
      </c>
      <c r="E88" s="36">
        <f t="shared" si="138"/>
        <v>80923.471428571414</v>
      </c>
      <c r="F88" s="36">
        <f t="shared" si="138"/>
        <v>58358.414285714287</v>
      </c>
      <c r="G88" s="36">
        <f t="shared" si="138"/>
        <v>54597.57142857142</v>
      </c>
      <c r="H88" s="36">
        <f t="shared" si="138"/>
        <v>32032.514285714293</v>
      </c>
      <c r="I88" s="36">
        <f t="shared" si="138"/>
        <v>33286.128571428577</v>
      </c>
      <c r="J88" s="36">
        <f t="shared" si="138"/>
        <v>23257.21428571429</v>
      </c>
      <c r="K88" s="36">
        <f t="shared" si="138"/>
        <v>44568.657142857133</v>
      </c>
      <c r="L88" s="36">
        <f t="shared" si="138"/>
        <v>25764.442857142858</v>
      </c>
      <c r="M88" s="36">
        <f t="shared" si="138"/>
        <v>29525.28571428571</v>
      </c>
      <c r="N88" s="36">
        <f t="shared" si="138"/>
        <v>16989.142857142855</v>
      </c>
      <c r="O88" s="175"/>
      <c r="P88" s="175"/>
      <c r="Q88" s="36">
        <f>Q72</f>
        <v>74038.411428571446</v>
      </c>
      <c r="R88" s="36">
        <f t="shared" ref="R88:AB88" si="139">R72</f>
        <v>75542.748571428587</v>
      </c>
      <c r="S88" s="36">
        <f t="shared" si="139"/>
        <v>108638.16571428569</v>
      </c>
      <c r="T88" s="36">
        <f t="shared" si="139"/>
        <v>81560.097142857136</v>
      </c>
      <c r="U88" s="36">
        <f t="shared" si="139"/>
        <v>77047.085714285713</v>
      </c>
      <c r="V88" s="36">
        <f t="shared" si="139"/>
        <v>49969.017142857148</v>
      </c>
      <c r="W88" s="36">
        <f t="shared" si="139"/>
        <v>51473.354285714318</v>
      </c>
      <c r="X88" s="36">
        <f t="shared" si="139"/>
        <v>39438.657142857133</v>
      </c>
      <c r="Y88" s="36">
        <f t="shared" si="139"/>
        <v>65012.388571428572</v>
      </c>
      <c r="Z88" s="36">
        <f t="shared" si="139"/>
        <v>42447.331428571415</v>
      </c>
      <c r="AA88" s="36">
        <f t="shared" si="139"/>
        <v>46960.342857142838</v>
      </c>
      <c r="AB88" s="36">
        <f t="shared" si="139"/>
        <v>31916.971428571414</v>
      </c>
      <c r="AC88" s="175"/>
      <c r="AD88" s="175"/>
      <c r="AE88" s="36">
        <f>AE72</f>
        <v>95986.479999999981</v>
      </c>
      <c r="AF88" s="36">
        <f t="shared" ref="AF88:AP88" si="140">AF72</f>
        <v>97741.540000000037</v>
      </c>
      <c r="AG88" s="36">
        <f t="shared" si="140"/>
        <v>136352.85999999999</v>
      </c>
      <c r="AH88" s="36">
        <f t="shared" si="140"/>
        <v>104761.77999999998</v>
      </c>
      <c r="AI88" s="36">
        <f t="shared" si="140"/>
        <v>99496.6</v>
      </c>
      <c r="AJ88" s="36">
        <f t="shared" si="140"/>
        <v>67905.520000000019</v>
      </c>
      <c r="AK88" s="36">
        <f t="shared" si="140"/>
        <v>69660.579999999987</v>
      </c>
      <c r="AL88" s="36">
        <f t="shared" si="140"/>
        <v>55620.100000000006</v>
      </c>
      <c r="AM88" s="36">
        <f t="shared" si="140"/>
        <v>85456.12000000001</v>
      </c>
      <c r="AN88" s="36">
        <f t="shared" si="140"/>
        <v>59130.220000000016</v>
      </c>
      <c r="AO88" s="36">
        <f t="shared" si="140"/>
        <v>64395.399999999994</v>
      </c>
      <c r="AP88" s="36">
        <f t="shared" si="140"/>
        <v>46844.800000000003</v>
      </c>
      <c r="AQ88" s="175"/>
      <c r="AR88" s="175"/>
      <c r="AS88" s="176"/>
    </row>
    <row r="89" spans="1:45" s="177" customFormat="1" ht="10.5" x14ac:dyDescent="0.35">
      <c r="A89" s="185" t="str">
        <f>"Чистый денежный поток (NCF) нарастающим итогом, "&amp;CHOOSE('Исходные данные'!$O$2,'Исходные данные'!$P$2,'Исходные данные'!$P$3,'Исходные данные'!$P$4,'Исходные данные'!$P$5)&amp;""</f>
        <v>Чистый денежный поток (NCF) нарастающим итогом, UAH</v>
      </c>
      <c r="B89" s="173"/>
      <c r="C89" s="36">
        <f>B89+C88</f>
        <v>52090.342857142838</v>
      </c>
      <c r="D89" s="36">
        <f t="shared" ref="D89:N89" si="141">C89+D88</f>
        <v>105434.29999999997</v>
      </c>
      <c r="E89" s="36">
        <f t="shared" si="141"/>
        <v>186357.77142857137</v>
      </c>
      <c r="F89" s="36">
        <f t="shared" si="141"/>
        <v>244716.18571428565</v>
      </c>
      <c r="G89" s="36">
        <f t="shared" si="141"/>
        <v>299313.75714285707</v>
      </c>
      <c r="H89" s="36">
        <f t="shared" si="141"/>
        <v>331346.27142857137</v>
      </c>
      <c r="I89" s="36">
        <f t="shared" si="141"/>
        <v>364632.39999999997</v>
      </c>
      <c r="J89" s="36">
        <f t="shared" si="141"/>
        <v>387889.61428571423</v>
      </c>
      <c r="K89" s="36">
        <f t="shared" si="141"/>
        <v>432458.27142857137</v>
      </c>
      <c r="L89" s="36">
        <f t="shared" si="141"/>
        <v>458222.7142857142</v>
      </c>
      <c r="M89" s="36">
        <f t="shared" si="141"/>
        <v>487747.99999999988</v>
      </c>
      <c r="N89" s="36">
        <f t="shared" si="141"/>
        <v>504737.14285714272</v>
      </c>
      <c r="O89" s="175"/>
      <c r="P89" s="175"/>
      <c r="Q89" s="36">
        <f>N89+Q88</f>
        <v>578775.55428571417</v>
      </c>
      <c r="R89" s="36">
        <f t="shared" ref="R89:AB89" si="142">Q89+R88</f>
        <v>654318.30285714276</v>
      </c>
      <c r="S89" s="36">
        <f t="shared" si="142"/>
        <v>762956.46857142844</v>
      </c>
      <c r="T89" s="36">
        <f t="shared" si="142"/>
        <v>844516.56571428559</v>
      </c>
      <c r="U89" s="36">
        <f t="shared" si="142"/>
        <v>921563.65142857132</v>
      </c>
      <c r="V89" s="36">
        <f t="shared" si="142"/>
        <v>971532.66857142851</v>
      </c>
      <c r="W89" s="36">
        <f t="shared" si="142"/>
        <v>1023006.0228571428</v>
      </c>
      <c r="X89" s="36">
        <f t="shared" si="142"/>
        <v>1062444.68</v>
      </c>
      <c r="Y89" s="36">
        <f t="shared" si="142"/>
        <v>1127457.0685714285</v>
      </c>
      <c r="Z89" s="36">
        <f t="shared" si="142"/>
        <v>1169904.3999999999</v>
      </c>
      <c r="AA89" s="36">
        <f t="shared" si="142"/>
        <v>1216864.7428571428</v>
      </c>
      <c r="AB89" s="36">
        <f t="shared" si="142"/>
        <v>1248781.7142857143</v>
      </c>
      <c r="AC89" s="175"/>
      <c r="AD89" s="175"/>
      <c r="AE89" s="36">
        <f>AB89+AE88</f>
        <v>1344768.1942857143</v>
      </c>
      <c r="AF89" s="36">
        <f t="shared" ref="AF89:AP89" si="143">AE89+AF88</f>
        <v>1442509.7342857143</v>
      </c>
      <c r="AG89" s="36">
        <f t="shared" si="143"/>
        <v>1578862.5942857144</v>
      </c>
      <c r="AH89" s="36">
        <f t="shared" si="143"/>
        <v>1683624.3742857145</v>
      </c>
      <c r="AI89" s="36">
        <f t="shared" si="143"/>
        <v>1783120.9742857146</v>
      </c>
      <c r="AJ89" s="36">
        <f t="shared" si="143"/>
        <v>1851026.4942857146</v>
      </c>
      <c r="AK89" s="36">
        <f t="shared" si="143"/>
        <v>1920687.0742857147</v>
      </c>
      <c r="AL89" s="36">
        <f t="shared" si="143"/>
        <v>1976307.1742857147</v>
      </c>
      <c r="AM89" s="36">
        <f t="shared" si="143"/>
        <v>2061763.2942857149</v>
      </c>
      <c r="AN89" s="36">
        <f t="shared" si="143"/>
        <v>2120893.5142857148</v>
      </c>
      <c r="AO89" s="36">
        <f t="shared" si="143"/>
        <v>2185288.9142857147</v>
      </c>
      <c r="AP89" s="36">
        <f t="shared" si="143"/>
        <v>2232133.7142857146</v>
      </c>
      <c r="AQ89" s="175"/>
      <c r="AR89" s="175"/>
      <c r="AS89" s="176"/>
    </row>
    <row r="90" spans="1:45" s="20" customFormat="1" ht="10.5" x14ac:dyDescent="0.35">
      <c r="A90" s="66" t="str">
        <f>"Чистая приведенная стоимость (NPV),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(NPV), UAH</v>
      </c>
      <c r="B90" s="25"/>
      <c r="C90" s="36">
        <f>IF(C88*C86&lt;0,C88,C88*C86)</f>
        <v>52090.342857142838</v>
      </c>
      <c r="D90" s="36">
        <f t="shared" ref="D90:N90" si="144">IF(D88*D86&lt;0,D88,D88*D86)</f>
        <v>52903.097992916169</v>
      </c>
      <c r="E90" s="36">
        <f t="shared" si="144"/>
        <v>79591.4205704138</v>
      </c>
      <c r="F90" s="36">
        <f t="shared" si="144"/>
        <v>56923.436385037996</v>
      </c>
      <c r="G90" s="36">
        <f t="shared" si="144"/>
        <v>52814.944538866912</v>
      </c>
      <c r="H90" s="36">
        <f t="shared" si="144"/>
        <v>30730.555239611396</v>
      </c>
      <c r="I90" s="36">
        <f t="shared" si="144"/>
        <v>31669.305590485474</v>
      </c>
      <c r="J90" s="36">
        <f t="shared" si="144"/>
        <v>21944.658383053702</v>
      </c>
      <c r="K90" s="36">
        <f>IF(K88*K86&lt;0,K88,K88*K86)</f>
        <v>41705.809465314735</v>
      </c>
      <c r="L90" s="36">
        <f t="shared" si="144"/>
        <v>23910.223576870514</v>
      </c>
      <c r="M90" s="36">
        <f t="shared" si="144"/>
        <v>27173.955899804267</v>
      </c>
      <c r="N90" s="36">
        <f t="shared" si="144"/>
        <v>15506.939813155921</v>
      </c>
      <c r="O90" s="52"/>
      <c r="P90" s="52"/>
      <c r="Q90" s="36">
        <f>IF(Q88*Q86&lt;0,Q88,Q88*Q86)</f>
        <v>67020.490307095752</v>
      </c>
      <c r="R90" s="36">
        <f t="shared" ref="R90:AB90" si="145">IF(R88*R86&lt;0,R88,R88*R86)</f>
        <v>67817.092549493333</v>
      </c>
      <c r="S90" s="36">
        <f t="shared" si="145"/>
        <v>96721.869991179221</v>
      </c>
      <c r="T90" s="36">
        <f t="shared" si="145"/>
        <v>72013.823564946375</v>
      </c>
      <c r="U90" s="36">
        <f t="shared" si="145"/>
        <v>67466.818059651763</v>
      </c>
      <c r="V90" s="36">
        <f t="shared" si="145"/>
        <v>43394.100920131015</v>
      </c>
      <c r="W90" s="36">
        <f t="shared" si="145"/>
        <v>44331.071994111408</v>
      </c>
      <c r="X90" s="36">
        <f t="shared" si="145"/>
        <v>33685.558945264122</v>
      </c>
      <c r="Y90" s="36">
        <f>IF(Y88*Y86&lt;0,Y88,Y88*Y86)</f>
        <v>55069.81747482541</v>
      </c>
      <c r="Z90" s="36">
        <f t="shared" si="145"/>
        <v>35658.55848662692</v>
      </c>
      <c r="AA90" s="36">
        <f t="shared" si="145"/>
        <v>39123.754505030753</v>
      </c>
      <c r="AB90" s="36">
        <f t="shared" si="145"/>
        <v>26371.01323185915</v>
      </c>
      <c r="AC90" s="52"/>
      <c r="AD90" s="52"/>
      <c r="AE90" s="36">
        <f>IF(AE88*AE86&lt;0,AE88,AE88*AE86)</f>
        <v>78652.237715534357</v>
      </c>
      <c r="AF90" s="36">
        <f t="shared" ref="AF90:AP90" si="146">IF(AF88*AF86&lt;0,AF88,AF88*AF86)</f>
        <v>79428.446903955672</v>
      </c>
      <c r="AG90" s="36">
        <f t="shared" si="146"/>
        <v>109889.70833711702</v>
      </c>
      <c r="AH90" s="36">
        <f t="shared" si="146"/>
        <v>83732.009418522866</v>
      </c>
      <c r="AI90" s="36">
        <f t="shared" si="146"/>
        <v>78866.535041369905</v>
      </c>
      <c r="AJ90" s="36">
        <f t="shared" si="146"/>
        <v>53380.848838498765</v>
      </c>
      <c r="AK90" s="36">
        <f t="shared" si="146"/>
        <v>54307.943567495968</v>
      </c>
      <c r="AL90" s="36">
        <f t="shared" si="146"/>
        <v>43003.51082540561</v>
      </c>
      <c r="AM90" s="36">
        <f>IF(AM88*AM86&lt;0,AM88,AM88*AM86)</f>
        <v>65525.628292628695</v>
      </c>
      <c r="AN90" s="36">
        <f t="shared" si="146"/>
        <v>44964.875365735832</v>
      </c>
      <c r="AO90" s="36">
        <f t="shared" si="146"/>
        <v>48564.018969411773</v>
      </c>
      <c r="AP90" s="36">
        <f t="shared" si="146"/>
        <v>35036.203460941761</v>
      </c>
      <c r="AQ90" s="109"/>
      <c r="AR90" s="109"/>
      <c r="AS90" s="52"/>
    </row>
    <row r="91" spans="1:45" s="20" customFormat="1" ht="10.5" x14ac:dyDescent="0.35">
      <c r="A91" s="66" t="str">
        <f>"Чистая приведенная стоимость (NPV) нарастающим итогом,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нарастающим итогом, UAH</v>
      </c>
      <c r="B91" s="25"/>
      <c r="C91" s="36">
        <f>B91+C90</f>
        <v>52090.342857142838</v>
      </c>
      <c r="D91" s="36">
        <f t="shared" ref="D91:N91" si="147">C91+D90</f>
        <v>104993.44085005901</v>
      </c>
      <c r="E91" s="36">
        <f t="shared" si="147"/>
        <v>184584.86142047279</v>
      </c>
      <c r="F91" s="36">
        <f t="shared" si="147"/>
        <v>241508.29780551078</v>
      </c>
      <c r="G91" s="36">
        <f t="shared" si="147"/>
        <v>294323.24234437768</v>
      </c>
      <c r="H91" s="36">
        <f t="shared" si="147"/>
        <v>325053.7975839891</v>
      </c>
      <c r="I91" s="36">
        <f t="shared" si="147"/>
        <v>356723.10317447456</v>
      </c>
      <c r="J91" s="36">
        <f t="shared" si="147"/>
        <v>378667.76155752828</v>
      </c>
      <c r="K91" s="36">
        <f t="shared" si="147"/>
        <v>420373.57102284301</v>
      </c>
      <c r="L91" s="36">
        <f t="shared" si="147"/>
        <v>444283.79459971352</v>
      </c>
      <c r="M91" s="36">
        <f t="shared" si="147"/>
        <v>471457.75049951777</v>
      </c>
      <c r="N91" s="36">
        <f t="shared" si="147"/>
        <v>486964.69031267369</v>
      </c>
      <c r="O91" s="52"/>
      <c r="P91" s="52"/>
      <c r="Q91" s="36">
        <f>N91+Q90</f>
        <v>553985.1806197695</v>
      </c>
      <c r="R91" s="36">
        <f t="shared" ref="R91:AB91" si="148">Q91+R90</f>
        <v>621802.2731692628</v>
      </c>
      <c r="S91" s="36">
        <f t="shared" si="148"/>
        <v>718524.14316044201</v>
      </c>
      <c r="T91" s="36">
        <f t="shared" si="148"/>
        <v>790537.96672538843</v>
      </c>
      <c r="U91" s="36">
        <f t="shared" si="148"/>
        <v>858004.78478504019</v>
      </c>
      <c r="V91" s="36">
        <f t="shared" si="148"/>
        <v>901398.88570517115</v>
      </c>
      <c r="W91" s="36">
        <f t="shared" si="148"/>
        <v>945729.95769928256</v>
      </c>
      <c r="X91" s="36">
        <f t="shared" si="148"/>
        <v>979415.51664454665</v>
      </c>
      <c r="Y91" s="36">
        <f t="shared" si="148"/>
        <v>1034485.3341193721</v>
      </c>
      <c r="Z91" s="36">
        <f t="shared" si="148"/>
        <v>1070143.892605999</v>
      </c>
      <c r="AA91" s="36">
        <f t="shared" si="148"/>
        <v>1109267.6471110298</v>
      </c>
      <c r="AB91" s="36">
        <f t="shared" si="148"/>
        <v>1135638.6603428889</v>
      </c>
      <c r="AC91" s="52"/>
      <c r="AD91" s="52"/>
      <c r="AE91" s="36">
        <f>AB91+AE90</f>
        <v>1214290.8980584233</v>
      </c>
      <c r="AF91" s="36">
        <f t="shared" ref="AF91:AP91" si="149">AE91+AF90</f>
        <v>1293719.344962379</v>
      </c>
      <c r="AG91" s="36">
        <f t="shared" si="149"/>
        <v>1403609.053299496</v>
      </c>
      <c r="AH91" s="36">
        <f t="shared" si="149"/>
        <v>1487341.0627180189</v>
      </c>
      <c r="AI91" s="36">
        <f t="shared" si="149"/>
        <v>1566207.5977593889</v>
      </c>
      <c r="AJ91" s="36">
        <f t="shared" si="149"/>
        <v>1619588.4465978877</v>
      </c>
      <c r="AK91" s="36">
        <f t="shared" si="149"/>
        <v>1673896.3901653837</v>
      </c>
      <c r="AL91" s="36">
        <f t="shared" si="149"/>
        <v>1716899.9009907893</v>
      </c>
      <c r="AM91" s="36">
        <f t="shared" si="149"/>
        <v>1782425.5292834181</v>
      </c>
      <c r="AN91" s="36">
        <f t="shared" si="149"/>
        <v>1827390.4046491538</v>
      </c>
      <c r="AO91" s="36">
        <f t="shared" si="149"/>
        <v>1875954.4236185655</v>
      </c>
      <c r="AP91" s="36">
        <f t="shared" si="149"/>
        <v>1910990.6270795073</v>
      </c>
      <c r="AQ91" s="109"/>
      <c r="AR91" s="109"/>
      <c r="AS91" s="52"/>
    </row>
    <row r="92" spans="1:45" s="20" customFormat="1" ht="10.5" x14ac:dyDescent="0.35">
      <c r="A92" s="185"/>
      <c r="B92" s="53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109"/>
      <c r="P92" s="109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09"/>
      <c r="AD92" s="109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109"/>
      <c r="AR92" s="109"/>
      <c r="AS92" s="22"/>
    </row>
    <row r="93" spans="1:45" s="20" customFormat="1" ht="10.5" x14ac:dyDescent="0.4">
      <c r="A93" s="186" t="str">
        <f>"Чистая приведенная стоимость (NPV) на конец 3-го года,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 конец 3-го года, UAH</v>
      </c>
      <c r="B93" s="54">
        <f>AP91+AS79</f>
        <v>6990.627079507336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109"/>
      <c r="P93" s="109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09"/>
      <c r="AD93" s="109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109"/>
      <c r="AR93" s="109"/>
      <c r="AS93" s="22"/>
    </row>
    <row r="94" spans="1:45" s="20" customFormat="1" ht="10.5" x14ac:dyDescent="0.4">
      <c r="A94" s="186" t="s">
        <v>21</v>
      </c>
      <c r="B94" s="54">
        <f>AP91/AS39</f>
        <v>1.0036715478358758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109"/>
      <c r="P94" s="109"/>
      <c r="Q94" s="27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09"/>
      <c r="AD94" s="109"/>
      <c r="AE94" s="27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109"/>
      <c r="AR94" s="109"/>
      <c r="AS94" s="22"/>
    </row>
    <row r="95" spans="1:45" s="20" customFormat="1" ht="10.5" x14ac:dyDescent="0.4">
      <c r="A95" s="187" t="s">
        <v>107</v>
      </c>
      <c r="B95" s="98">
        <f>AS100</f>
        <v>31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109"/>
      <c r="P95" s="109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09"/>
      <c r="AD95" s="109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109"/>
      <c r="AR95" s="109"/>
      <c r="AS95" s="22"/>
    </row>
    <row r="96" spans="1:45" s="13" customFormat="1" ht="10.5" x14ac:dyDescent="0.4">
      <c r="A96" s="187" t="s">
        <v>47</v>
      </c>
      <c r="B96" s="98">
        <f>AS101</f>
        <v>1</v>
      </c>
      <c r="C96" s="42"/>
      <c r="D96" s="42"/>
      <c r="E96" s="41"/>
      <c r="F96" s="41"/>
      <c r="G96" s="41"/>
      <c r="H96" s="42"/>
      <c r="I96" s="40"/>
      <c r="J96" s="40"/>
      <c r="K96" s="40"/>
      <c r="L96" s="40"/>
      <c r="M96" s="40"/>
      <c r="N96" s="40"/>
      <c r="O96" s="110"/>
      <c r="P96" s="110"/>
      <c r="Q96" s="42"/>
      <c r="R96" s="42"/>
      <c r="S96" s="41"/>
      <c r="T96" s="41"/>
      <c r="U96" s="41"/>
      <c r="V96" s="42"/>
      <c r="W96" s="40"/>
      <c r="X96" s="40"/>
      <c r="Y96" s="40"/>
      <c r="Z96" s="40"/>
      <c r="AA96" s="40"/>
      <c r="AB96" s="40"/>
      <c r="AC96" s="110"/>
      <c r="AD96" s="110"/>
      <c r="AE96" s="42"/>
      <c r="AF96" s="42"/>
      <c r="AG96" s="41"/>
      <c r="AH96" s="41"/>
      <c r="AI96" s="41"/>
      <c r="AJ96" s="42"/>
      <c r="AK96" s="40"/>
      <c r="AL96" s="40"/>
      <c r="AM96" s="40"/>
      <c r="AN96" s="40"/>
      <c r="AO96" s="40"/>
      <c r="AP96" s="40"/>
      <c r="AQ96" s="110"/>
      <c r="AR96" s="110"/>
      <c r="AS96" s="40"/>
    </row>
    <row r="97" spans="1:45" s="20" customFormat="1" ht="10.5" x14ac:dyDescent="0.4">
      <c r="B97" s="27"/>
      <c r="C97" s="51"/>
      <c r="E97" s="56"/>
      <c r="O97" s="55"/>
      <c r="P97" s="55"/>
      <c r="Q97" s="51"/>
      <c r="S97" s="56"/>
      <c r="AC97" s="55"/>
      <c r="AD97" s="55"/>
      <c r="AE97" s="51"/>
      <c r="AG97" s="56"/>
      <c r="AQ97" s="55"/>
      <c r="AR97" s="55"/>
    </row>
    <row r="98" spans="1:45" s="118" customFormat="1" ht="10.5" hidden="1" x14ac:dyDescent="0.4">
      <c r="B98" s="119" t="s">
        <v>34</v>
      </c>
      <c r="C98" s="119">
        <f t="shared" ref="C98:N98" si="150">IF(C73&gt;0,0,1)</f>
        <v>1</v>
      </c>
      <c r="D98" s="119">
        <f t="shared" si="150"/>
        <v>1</v>
      </c>
      <c r="E98" s="119">
        <f t="shared" si="150"/>
        <v>1</v>
      </c>
      <c r="F98" s="119">
        <f t="shared" si="150"/>
        <v>1</v>
      </c>
      <c r="G98" s="119">
        <f t="shared" si="150"/>
        <v>1</v>
      </c>
      <c r="H98" s="119">
        <f t="shared" si="150"/>
        <v>1</v>
      </c>
      <c r="I98" s="119">
        <f t="shared" si="150"/>
        <v>1</v>
      </c>
      <c r="J98" s="119">
        <f t="shared" si="150"/>
        <v>1</v>
      </c>
      <c r="K98" s="119">
        <f t="shared" si="150"/>
        <v>1</v>
      </c>
      <c r="L98" s="119">
        <f t="shared" si="150"/>
        <v>1</v>
      </c>
      <c r="M98" s="119">
        <f t="shared" si="150"/>
        <v>1</v>
      </c>
      <c r="N98" s="119">
        <f t="shared" si="150"/>
        <v>1</v>
      </c>
      <c r="O98" s="120"/>
      <c r="P98" s="120"/>
      <c r="Q98" s="119">
        <f t="shared" ref="Q98:AB98" si="151">IF(Q73&gt;0,0,1)</f>
        <v>1</v>
      </c>
      <c r="R98" s="119">
        <f t="shared" si="151"/>
        <v>1</v>
      </c>
      <c r="S98" s="119">
        <f t="shared" si="151"/>
        <v>1</v>
      </c>
      <c r="T98" s="119">
        <f t="shared" si="151"/>
        <v>1</v>
      </c>
      <c r="U98" s="119">
        <f t="shared" si="151"/>
        <v>1</v>
      </c>
      <c r="V98" s="119">
        <f t="shared" si="151"/>
        <v>1</v>
      </c>
      <c r="W98" s="119">
        <f t="shared" si="151"/>
        <v>1</v>
      </c>
      <c r="X98" s="119">
        <f t="shared" si="151"/>
        <v>1</v>
      </c>
      <c r="Y98" s="119">
        <f t="shared" si="151"/>
        <v>1</v>
      </c>
      <c r="Z98" s="119">
        <f t="shared" si="151"/>
        <v>1</v>
      </c>
      <c r="AA98" s="119">
        <f t="shared" si="151"/>
        <v>1</v>
      </c>
      <c r="AB98" s="119">
        <f t="shared" si="151"/>
        <v>1</v>
      </c>
      <c r="AC98" s="120"/>
      <c r="AD98" s="120"/>
      <c r="AE98" s="119">
        <f t="shared" ref="AE98:AP98" si="152">IF(AE73&gt;0,0,1)</f>
        <v>1</v>
      </c>
      <c r="AF98" s="119">
        <f t="shared" si="152"/>
        <v>1</v>
      </c>
      <c r="AG98" s="119">
        <f t="shared" si="152"/>
        <v>1</v>
      </c>
      <c r="AH98" s="119">
        <f t="shared" si="152"/>
        <v>1</v>
      </c>
      <c r="AI98" s="119">
        <f t="shared" si="152"/>
        <v>1</v>
      </c>
      <c r="AJ98" s="119">
        <f t="shared" si="152"/>
        <v>1</v>
      </c>
      <c r="AK98" s="119">
        <f t="shared" si="152"/>
        <v>0</v>
      </c>
      <c r="AL98" s="119">
        <f t="shared" si="152"/>
        <v>0</v>
      </c>
      <c r="AM98" s="119">
        <f t="shared" si="152"/>
        <v>0</v>
      </c>
      <c r="AN98" s="119">
        <f t="shared" si="152"/>
        <v>0</v>
      </c>
      <c r="AO98" s="119">
        <f t="shared" si="152"/>
        <v>0</v>
      </c>
      <c r="AP98" s="119">
        <f t="shared" si="152"/>
        <v>0</v>
      </c>
      <c r="AQ98" s="120"/>
      <c r="AR98" s="120"/>
      <c r="AS98" s="118">
        <f>SUM(C98:AP98)</f>
        <v>30</v>
      </c>
    </row>
    <row r="99" spans="1:45" s="119" customFormat="1" ht="10.199999999999999" hidden="1" x14ac:dyDescent="0.35">
      <c r="B99" s="119" t="s">
        <v>46</v>
      </c>
      <c r="C99" s="119">
        <f>IF(C72&gt;0,0,1)</f>
        <v>0</v>
      </c>
      <c r="D99" s="119">
        <f>IF(OR(D72&gt;0,C99=0),0,1)</f>
        <v>0</v>
      </c>
      <c r="E99" s="119">
        <f t="shared" ref="E99:N99" si="153">IF(OR(E72&gt;0,D99=0),0,1)</f>
        <v>0</v>
      </c>
      <c r="F99" s="119">
        <f t="shared" si="153"/>
        <v>0</v>
      </c>
      <c r="G99" s="119">
        <f t="shared" si="153"/>
        <v>0</v>
      </c>
      <c r="H99" s="119">
        <f t="shared" si="153"/>
        <v>0</v>
      </c>
      <c r="I99" s="119">
        <f>IF(OR(I72&gt;0,H99=0),0,1)</f>
        <v>0</v>
      </c>
      <c r="J99" s="119">
        <f t="shared" si="153"/>
        <v>0</v>
      </c>
      <c r="K99" s="119">
        <f t="shared" si="153"/>
        <v>0</v>
      </c>
      <c r="L99" s="119">
        <f>IF(OR(L72&gt;0,K99=0),0,1)</f>
        <v>0</v>
      </c>
      <c r="M99" s="119">
        <f t="shared" si="153"/>
        <v>0</v>
      </c>
      <c r="N99" s="119">
        <f t="shared" si="153"/>
        <v>0</v>
      </c>
      <c r="Q99" s="119">
        <f>IF(OR(Q72&gt;0,N99=0),0,1)</f>
        <v>0</v>
      </c>
      <c r="R99" s="119">
        <f t="shared" ref="R99:AB99" si="154">IF(OR(R72&gt;0,Q99=0),0,1)</f>
        <v>0</v>
      </c>
      <c r="S99" s="119">
        <f t="shared" si="154"/>
        <v>0</v>
      </c>
      <c r="T99" s="119">
        <f t="shared" si="154"/>
        <v>0</v>
      </c>
      <c r="U99" s="119">
        <f t="shared" si="154"/>
        <v>0</v>
      </c>
      <c r="V99" s="119">
        <f>IF(OR(V72&gt;0,U99=0),0,1)</f>
        <v>0</v>
      </c>
      <c r="W99" s="119">
        <f t="shared" si="154"/>
        <v>0</v>
      </c>
      <c r="X99" s="119">
        <f t="shared" si="154"/>
        <v>0</v>
      </c>
      <c r="Y99" s="119">
        <f>IF(OR(Y72&gt;0,X99=0),0,1)</f>
        <v>0</v>
      </c>
      <c r="Z99" s="119">
        <f t="shared" si="154"/>
        <v>0</v>
      </c>
      <c r="AA99" s="119">
        <f t="shared" si="154"/>
        <v>0</v>
      </c>
      <c r="AB99" s="119">
        <f t="shared" si="154"/>
        <v>0</v>
      </c>
      <c r="AE99" s="119">
        <f>IF(OR(AE72&gt;0,AB99=0),0,1)</f>
        <v>0</v>
      </c>
      <c r="AF99" s="119">
        <f t="shared" ref="AF99:AP99" si="155">IF(OR(AF72&gt;0,AE99=0),0,1)</f>
        <v>0</v>
      </c>
      <c r="AG99" s="119">
        <f t="shared" si="155"/>
        <v>0</v>
      </c>
      <c r="AH99" s="119">
        <f t="shared" si="155"/>
        <v>0</v>
      </c>
      <c r="AI99" s="119">
        <f t="shared" si="155"/>
        <v>0</v>
      </c>
      <c r="AJ99" s="119">
        <f>IF(OR(AJ72&gt;0,AI99=0),0,1)</f>
        <v>0</v>
      </c>
      <c r="AK99" s="119">
        <f t="shared" si="155"/>
        <v>0</v>
      </c>
      <c r="AL99" s="119">
        <f t="shared" si="155"/>
        <v>0</v>
      </c>
      <c r="AM99" s="119">
        <f>IF(OR(AM72&gt;0,AL99=0),0,1)</f>
        <v>0</v>
      </c>
      <c r="AN99" s="119">
        <f t="shared" si="155"/>
        <v>0</v>
      </c>
      <c r="AO99" s="119">
        <f t="shared" si="155"/>
        <v>0</v>
      </c>
      <c r="AP99" s="119">
        <f t="shared" si="155"/>
        <v>0</v>
      </c>
      <c r="AS99" s="118">
        <f>SUM(C99:AP99)</f>
        <v>0</v>
      </c>
    </row>
    <row r="100" spans="1:45" s="20" customFormat="1" ht="10.5" hidden="1" x14ac:dyDescent="0.4">
      <c r="O100" s="55"/>
      <c r="P100" s="55"/>
      <c r="AC100" s="55"/>
      <c r="AD100" s="55"/>
      <c r="AQ100" s="55"/>
      <c r="AR100" s="55"/>
      <c r="AS100" s="383">
        <f>IF(AS98&lt;36,AS98+1,-AS71/AR72+37)</f>
        <v>31</v>
      </c>
    </row>
    <row r="101" spans="1:45" s="58" customFormat="1" ht="14.1" hidden="1" x14ac:dyDescent="0.5">
      <c r="A101" s="20"/>
      <c r="B101" s="57"/>
      <c r="O101" s="113"/>
      <c r="P101" s="113"/>
      <c r="AC101" s="113"/>
      <c r="AD101" s="113"/>
      <c r="AQ101" s="113"/>
      <c r="AR101" s="113"/>
      <c r="AS101" s="58">
        <f>IF(AS99&lt;36,AS99+1,-AS71/AR72+37)</f>
        <v>1</v>
      </c>
    </row>
    <row r="102" spans="1:45" s="58" customFormat="1" ht="14.1" x14ac:dyDescent="0.5">
      <c r="A102" s="20"/>
      <c r="B102" s="57"/>
      <c r="O102" s="113"/>
      <c r="P102" s="113"/>
      <c r="AC102" s="113"/>
      <c r="AD102" s="113"/>
      <c r="AQ102" s="113"/>
      <c r="AR102" s="113"/>
    </row>
    <row r="103" spans="1:45" s="194" customFormat="1" ht="14.1" x14ac:dyDescent="0.5">
      <c r="A103" s="191"/>
      <c r="B103" s="191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3"/>
      <c r="P103" s="193"/>
      <c r="AC103" s="195"/>
      <c r="AD103" s="195"/>
      <c r="AQ103" s="195"/>
      <c r="AR103" s="195"/>
    </row>
    <row r="104" spans="1:45" s="194" customFormat="1" ht="14.1" x14ac:dyDescent="0.5">
      <c r="A104" s="191"/>
      <c r="B104" s="191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3"/>
      <c r="P104" s="195"/>
      <c r="AC104" s="195"/>
      <c r="AD104" s="195"/>
      <c r="AQ104" s="195"/>
      <c r="AR104" s="195"/>
    </row>
    <row r="105" spans="1:45" s="194" customFormat="1" ht="14.1" x14ac:dyDescent="0.5">
      <c r="A105" s="191"/>
      <c r="B105" s="191"/>
      <c r="O105" s="195"/>
      <c r="P105" s="195"/>
      <c r="AC105" s="195"/>
      <c r="AD105" s="195"/>
      <c r="AQ105" s="195"/>
      <c r="AR105" s="195"/>
    </row>
    <row r="106" spans="1:45" s="58" customFormat="1" ht="14.1" x14ac:dyDescent="0.5">
      <c r="A106" s="20"/>
      <c r="B106" s="57"/>
      <c r="O106" s="113"/>
      <c r="P106" s="113"/>
      <c r="AC106" s="113"/>
      <c r="AD106" s="113"/>
      <c r="AQ106" s="113"/>
      <c r="AR106" s="113"/>
    </row>
    <row r="107" spans="1:45" s="58" customFormat="1" ht="14.1" x14ac:dyDescent="0.5">
      <c r="A107" s="20"/>
      <c r="B107" s="57"/>
      <c r="O107" s="113"/>
      <c r="P107" s="113"/>
      <c r="AC107" s="113"/>
      <c r="AD107" s="113"/>
      <c r="AQ107" s="113"/>
      <c r="AR107" s="113"/>
    </row>
    <row r="108" spans="1:45" s="58" customFormat="1" ht="14.1" x14ac:dyDescent="0.5">
      <c r="A108" s="20"/>
      <c r="B108" s="57"/>
      <c r="O108" s="113"/>
      <c r="P108" s="113"/>
      <c r="AC108" s="113"/>
      <c r="AD108" s="113"/>
      <c r="AQ108" s="113"/>
      <c r="AR108" s="113"/>
    </row>
    <row r="109" spans="1:45" s="58" customFormat="1" ht="14.1" x14ac:dyDescent="0.5">
      <c r="A109" s="20"/>
      <c r="B109" s="57"/>
      <c r="O109" s="113"/>
      <c r="P109" s="113"/>
      <c r="AC109" s="113"/>
      <c r="AD109" s="113"/>
      <c r="AQ109" s="113"/>
      <c r="AR109" s="113"/>
    </row>
    <row r="110" spans="1:45" s="58" customFormat="1" ht="14.1" x14ac:dyDescent="0.5">
      <c r="A110" s="20"/>
      <c r="B110" s="57"/>
      <c r="O110" s="113"/>
      <c r="P110" s="113"/>
      <c r="AC110" s="113"/>
      <c r="AD110" s="113"/>
      <c r="AQ110" s="113"/>
      <c r="AR110" s="113"/>
    </row>
    <row r="111" spans="1:45" s="58" customFormat="1" ht="14.1" x14ac:dyDescent="0.5">
      <c r="A111" s="20"/>
      <c r="B111" s="57"/>
      <c r="O111" s="113"/>
      <c r="P111" s="113"/>
      <c r="AC111" s="113"/>
      <c r="AD111" s="113"/>
      <c r="AQ111" s="113"/>
      <c r="AR111" s="113"/>
    </row>
    <row r="112" spans="1:45" s="58" customFormat="1" ht="14.1" x14ac:dyDescent="0.5">
      <c r="A112" s="20"/>
      <c r="B112" s="57"/>
      <c r="O112" s="113"/>
      <c r="P112" s="113"/>
      <c r="AC112" s="113"/>
      <c r="AD112" s="113"/>
      <c r="AQ112" s="113"/>
      <c r="AR112" s="113"/>
    </row>
    <row r="113" spans="1:44" s="58" customFormat="1" ht="14.1" x14ac:dyDescent="0.5">
      <c r="A113" s="20"/>
      <c r="B113" s="57"/>
      <c r="O113" s="113"/>
      <c r="P113" s="113"/>
      <c r="AC113" s="113"/>
      <c r="AD113" s="113"/>
      <c r="AQ113" s="113"/>
      <c r="AR113" s="113"/>
    </row>
    <row r="114" spans="1:44" s="58" customFormat="1" ht="14.1" x14ac:dyDescent="0.5">
      <c r="A114" s="20"/>
      <c r="B114" s="57"/>
      <c r="O114" s="113"/>
      <c r="P114" s="113"/>
      <c r="AC114" s="113"/>
      <c r="AD114" s="113"/>
      <c r="AQ114" s="113"/>
      <c r="AR114" s="113"/>
    </row>
  </sheetData>
  <mergeCells count="8">
    <mergeCell ref="A1:B1"/>
    <mergeCell ref="AS15:AS16"/>
    <mergeCell ref="C5:P5"/>
    <mergeCell ref="C15:P15"/>
    <mergeCell ref="Q5:AD5"/>
    <mergeCell ref="Q15:AD15"/>
    <mergeCell ref="AE5:AR5"/>
    <mergeCell ref="AE15:AR15"/>
  </mergeCells>
  <conditionalFormatting sqref="C9:N10">
    <cfRule type="cellIs" dxfId="40" priority="101" operator="lessThan">
      <formula>1</formula>
    </cfRule>
    <cfRule type="cellIs" dxfId="39" priority="102" operator="greaterThan">
      <formula>1</formula>
    </cfRule>
  </conditionalFormatting>
  <conditionalFormatting sqref="C9:N9">
    <cfRule type="cellIs" dxfId="38" priority="103" operator="lessThan">
      <formula>1</formula>
    </cfRule>
  </conditionalFormatting>
  <conditionalFormatting sqref="Q7:AB7">
    <cfRule type="cellIs" dxfId="37" priority="88" operator="lessThan">
      <formula>1</formula>
    </cfRule>
    <cfRule type="cellIs" dxfId="36" priority="89" operator="greaterThan">
      <formula>1</formula>
    </cfRule>
  </conditionalFormatting>
  <conditionalFormatting sqref="Q9:AB9">
    <cfRule type="cellIs" dxfId="35" priority="87" operator="lessThan">
      <formula>1</formula>
    </cfRule>
  </conditionalFormatting>
  <conditionalFormatting sqref="Q9:AB10">
    <cfRule type="cellIs" dxfId="34" priority="85" operator="lessThan">
      <formula>1</formula>
    </cfRule>
    <cfRule type="cellIs" dxfId="33" priority="86" operator="greaterThan">
      <formula>1</formula>
    </cfRule>
  </conditionalFormatting>
  <conditionalFormatting sqref="AE7:AP7">
    <cfRule type="cellIs" dxfId="32" priority="70" operator="lessThan">
      <formula>1</formula>
    </cfRule>
    <cfRule type="cellIs" dxfId="31" priority="71" operator="greaterThan">
      <formula>1</formula>
    </cfRule>
  </conditionalFormatting>
  <conditionalFormatting sqref="AE9:AP9">
    <cfRule type="cellIs" dxfId="30" priority="69" operator="lessThan">
      <formula>1</formula>
    </cfRule>
  </conditionalFormatting>
  <conditionalFormatting sqref="AE9:AP10">
    <cfRule type="cellIs" dxfId="29" priority="67" operator="lessThan">
      <formula>1</formula>
    </cfRule>
    <cfRule type="cellIs" dxfId="28" priority="68" operator="greaterThan">
      <formula>1</formula>
    </cfRule>
  </conditionalFormatting>
  <conditionalFormatting sqref="Q11:AB12">
    <cfRule type="cellIs" dxfId="27" priority="37" operator="lessThan">
      <formula>1</formula>
    </cfRule>
    <cfRule type="cellIs" dxfId="26" priority="38" operator="greaterThan">
      <formula>1</formula>
    </cfRule>
  </conditionalFormatting>
  <conditionalFormatting sqref="C11:N12">
    <cfRule type="cellIs" dxfId="25" priority="40" operator="lessThan">
      <formula>1</formula>
    </cfRule>
    <cfRule type="cellIs" dxfId="24" priority="41" operator="greaterThan">
      <formula>1</formula>
    </cfRule>
  </conditionalFormatting>
  <conditionalFormatting sqref="C11:N11">
    <cfRule type="cellIs" dxfId="23" priority="42" operator="lessThan">
      <formula>1</formula>
    </cfRule>
  </conditionalFormatting>
  <conditionalFormatting sqref="AE11:AP11">
    <cfRule type="cellIs" dxfId="22" priority="36" operator="lessThan">
      <formula>1</formula>
    </cfRule>
  </conditionalFormatting>
  <conditionalFormatting sqref="AE11:AP12">
    <cfRule type="cellIs" dxfId="21" priority="34" operator="lessThan">
      <formula>1</formula>
    </cfRule>
    <cfRule type="cellIs" dxfId="20" priority="35" operator="greaterThan">
      <formula>1</formula>
    </cfRule>
  </conditionalFormatting>
  <conditionalFormatting sqref="Q11:AB11">
    <cfRule type="cellIs" dxfId="19" priority="39" operator="lessThan">
      <formula>1</formula>
    </cfRule>
  </conditionalFormatting>
  <conditionalFormatting sqref="C13:N13">
    <cfRule type="cellIs" dxfId="18" priority="31" operator="lessThan">
      <formula>1</formula>
    </cfRule>
    <cfRule type="cellIs" dxfId="17" priority="32" operator="greaterThan">
      <formula>1</formula>
    </cfRule>
  </conditionalFormatting>
  <conditionalFormatting sqref="C13:N13">
    <cfRule type="cellIs" dxfId="16" priority="33" operator="lessThan">
      <formula>1</formula>
    </cfRule>
  </conditionalFormatting>
  <conditionalFormatting sqref="AE13:AP13">
    <cfRule type="cellIs" dxfId="15" priority="27" operator="lessThan">
      <formula>1</formula>
    </cfRule>
  </conditionalFormatting>
  <conditionalFormatting sqref="AE13:AP13">
    <cfRule type="cellIs" dxfId="14" priority="25" operator="lessThan">
      <formula>1</formula>
    </cfRule>
    <cfRule type="cellIs" dxfId="13" priority="26" operator="greaterThan">
      <formula>1</formula>
    </cfRule>
  </conditionalFormatting>
  <conditionalFormatting sqref="Q13:AB13">
    <cfRule type="cellIs" dxfId="12" priority="30" operator="lessThan">
      <formula>1</formula>
    </cfRule>
  </conditionalFormatting>
  <conditionalFormatting sqref="Q13:AB13">
    <cfRule type="cellIs" dxfId="11" priority="28" operator="lessThan">
      <formula>1</formula>
    </cfRule>
    <cfRule type="cellIs" dxfId="10" priority="29" operator="greaterThan">
      <formula>1</formula>
    </cfRule>
  </conditionalFormatting>
  <conditionalFormatting sqref="C8:N8">
    <cfRule type="cellIs" dxfId="9" priority="21" operator="lessThan">
      <formula>1</formula>
    </cfRule>
    <cfRule type="cellIs" dxfId="8" priority="22" operator="greaterThan">
      <formula>1</formula>
    </cfRule>
  </conditionalFormatting>
  <conditionalFormatting sqref="Q8:AB8">
    <cfRule type="cellIs" dxfId="7" priority="7" operator="lessThan">
      <formula>1</formula>
    </cfRule>
    <cfRule type="cellIs" dxfId="6" priority="8" operator="greaterThan">
      <formula>1</formula>
    </cfRule>
  </conditionalFormatting>
  <conditionalFormatting sqref="AE8:AP8">
    <cfRule type="cellIs" dxfId="5" priority="5" operator="lessThan">
      <formula>1</formula>
    </cfRule>
    <cfRule type="cellIs" dxfId="4" priority="6" operator="greaterThan">
      <formula>1</formula>
    </cfRule>
  </conditionalFormatting>
  <conditionalFormatting sqref="AU17:AU35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C7:N7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1" fitToHeight="2" orientation="landscape" horizontalDpi="300" verticalDpi="300" r:id="rId1"/>
  <headerFooter alignWithMargins="0"/>
  <colBreaks count="2" manualBreakCount="2">
    <brk id="16" min="4" max="109" man="1"/>
    <brk id="30" min="4" max="109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2018-08-09T17:19:48Z</cp:lastPrinted>
  <dcterms:created xsi:type="dcterms:W3CDTF">2013-12-25T12:04:54Z</dcterms:created>
  <dcterms:modified xsi:type="dcterms:W3CDTF">2018-11-02T11:36:53Z</dcterms:modified>
</cp:coreProperties>
</file>