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3"/>
  <workbookPr filterPrivacy="1" codeName="ЭтаКнига"/>
  <xr:revisionPtr revIDLastSave="0" documentId="10_ncr:8100000_{E128C6F7-63F3-CE4B-BB44-A894191535BF}" xr6:coauthVersionLast="34" xr6:coauthVersionMax="34" xr10:uidLastSave="{00000000-0000-0000-0000-000000000000}"/>
  <bookViews>
    <workbookView xWindow="0" yWindow="460" windowWidth="25600" windowHeight="14440" tabRatio="875" xr2:uid="{00000000-000D-0000-FFFF-FFFF00000000}"/>
  </bookViews>
  <sheets>
    <sheet name="Подставь свои значения" sheetId="13" r:id="rId1"/>
    <sheet name="Инвестиции" sheetId="5" r:id="rId2"/>
    <sheet name="Ежемесячные финансы" sheetId="15" r:id="rId3"/>
    <sheet name="Финансовый план на год" sheetId="16" r:id="rId4"/>
    <sheet name="Справочник налогов" sheetId="11" r:id="rId5"/>
    <sheet name="Краткий прайс, учет расходов" sheetId="12" state="veryHidden" r:id="rId6"/>
  </sheets>
  <definedNames>
    <definedName name="_25_40_кв.м.">#REF!</definedName>
  </definedNames>
  <calcPr calcId="162913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5" l="1"/>
  <c r="D5" i="5"/>
  <c r="B3" i="11" l="1"/>
  <c r="D4" i="15"/>
  <c r="S4" i="16" s="1"/>
  <c r="C21" i="16"/>
  <c r="C15" i="15"/>
  <c r="D15" i="15" s="1"/>
  <c r="D18" i="15" s="1"/>
  <c r="D19" i="15" s="1"/>
  <c r="C12" i="15"/>
  <c r="D12" i="15"/>
  <c r="C12" i="16" s="1"/>
  <c r="D9" i="5"/>
  <c r="D6" i="5"/>
  <c r="D31" i="16"/>
  <c r="F31" i="16"/>
  <c r="H31" i="16"/>
  <c r="Y25" i="16"/>
  <c r="W25" i="16"/>
  <c r="U25" i="16"/>
  <c r="S25" i="16"/>
  <c r="Q25" i="16"/>
  <c r="O25" i="16"/>
  <c r="M25" i="16"/>
  <c r="K25" i="16"/>
  <c r="I25" i="16"/>
  <c r="G25" i="16"/>
  <c r="E25" i="16"/>
  <c r="C25" i="16"/>
  <c r="Y23" i="16"/>
  <c r="W23" i="16"/>
  <c r="U23" i="16"/>
  <c r="S23" i="16"/>
  <c r="Q23" i="16"/>
  <c r="O23" i="16"/>
  <c r="M23" i="16"/>
  <c r="K23" i="16"/>
  <c r="I23" i="16"/>
  <c r="G23" i="16"/>
  <c r="E23" i="16"/>
  <c r="C23" i="16"/>
  <c r="Y21" i="16"/>
  <c r="W21" i="16"/>
  <c r="U21" i="16"/>
  <c r="S21" i="16"/>
  <c r="Q21" i="16"/>
  <c r="O21" i="16"/>
  <c r="M21" i="16"/>
  <c r="K21" i="16"/>
  <c r="I21" i="16"/>
  <c r="G21" i="16"/>
  <c r="E21" i="16"/>
  <c r="Y13" i="16"/>
  <c r="W13" i="16"/>
  <c r="U13" i="16"/>
  <c r="S13" i="16"/>
  <c r="Q13" i="16"/>
  <c r="O13" i="16"/>
  <c r="M13" i="16"/>
  <c r="K13" i="16"/>
  <c r="I13" i="16"/>
  <c r="G13" i="16"/>
  <c r="E13" i="16"/>
  <c r="C13" i="16"/>
  <c r="D11" i="15"/>
  <c r="Y11" i="16" s="1"/>
  <c r="S11" i="16"/>
  <c r="K11" i="16"/>
  <c r="C11" i="16"/>
  <c r="D10" i="15"/>
  <c r="W10" i="16" s="1"/>
  <c r="Y10" i="16"/>
  <c r="U10" i="16"/>
  <c r="S10" i="16"/>
  <c r="Q10" i="16"/>
  <c r="M10" i="16"/>
  <c r="K10" i="16"/>
  <c r="I10" i="16"/>
  <c r="E10" i="16"/>
  <c r="C10" i="16"/>
  <c r="D27" i="15"/>
  <c r="U27" i="16" s="1"/>
  <c r="W27" i="16"/>
  <c r="S27" i="16"/>
  <c r="O27" i="16"/>
  <c r="K27" i="16"/>
  <c r="G27" i="16"/>
  <c r="C27" i="16"/>
  <c r="C30" i="5"/>
  <c r="D30" i="5"/>
  <c r="C29" i="5"/>
  <c r="D29" i="5"/>
  <c r="D17" i="15"/>
  <c r="W4" i="16"/>
  <c r="V16" i="16" s="1"/>
  <c r="W16" i="16" s="1"/>
  <c r="O4" i="16"/>
  <c r="N16" i="16" s="1"/>
  <c r="O16" i="16" s="1"/>
  <c r="G4" i="16"/>
  <c r="F16" i="16" s="1"/>
  <c r="G16" i="16" s="1"/>
  <c r="U4" i="16"/>
  <c r="T16" i="16" s="1"/>
  <c r="U16" i="16" s="1"/>
  <c r="M4" i="16"/>
  <c r="L16" i="16" s="1"/>
  <c r="M16" i="16" s="1"/>
  <c r="E4" i="16"/>
  <c r="D16" i="16" s="1"/>
  <c r="E16" i="16" s="1"/>
  <c r="D16" i="15"/>
  <c r="C13" i="5"/>
  <c r="D13" i="5" s="1"/>
  <c r="D5" i="15"/>
  <c r="U5" i="16" s="1"/>
  <c r="U2" i="16" s="1"/>
  <c r="C5" i="5"/>
  <c r="C14" i="5"/>
  <c r="U24" i="16"/>
  <c r="B9" i="15"/>
  <c r="C9" i="15"/>
  <c r="C17" i="5"/>
  <c r="B14" i="13"/>
  <c r="B23" i="12"/>
  <c r="E23" i="12"/>
  <c r="C22" i="12"/>
  <c r="E22" i="12"/>
  <c r="C20" i="12"/>
  <c r="C21" i="12"/>
  <c r="E21" i="12" s="1"/>
  <c r="C19" i="12"/>
  <c r="E19" i="12" s="1"/>
  <c r="C17" i="12"/>
  <c r="E17" i="12" s="1"/>
  <c r="C16" i="12"/>
  <c r="E16" i="12" s="1"/>
  <c r="E20" i="12"/>
  <c r="E18" i="12"/>
  <c r="E15" i="12"/>
  <c r="E14" i="12"/>
  <c r="D12" i="12"/>
  <c r="D7" i="12"/>
  <c r="C9" i="12"/>
  <c r="C11" i="12"/>
  <c r="E11" i="12" s="1"/>
  <c r="E6" i="12"/>
  <c r="C5" i="12"/>
  <c r="E5" i="12"/>
  <c r="E10" i="12"/>
  <c r="C3" i="12"/>
  <c r="E3" i="12" s="1"/>
  <c r="B12" i="12"/>
  <c r="B7" i="12"/>
  <c r="Y12" i="16"/>
  <c r="W12" i="16"/>
  <c r="O12" i="16"/>
  <c r="G12" i="16"/>
  <c r="U12" i="16"/>
  <c r="M12" i="16"/>
  <c r="E12" i="16"/>
  <c r="S12" i="16"/>
  <c r="K12" i="16"/>
  <c r="Q12" i="16"/>
  <c r="I12" i="16"/>
  <c r="C7" i="12"/>
  <c r="E7" i="12"/>
  <c r="D17" i="5"/>
  <c r="D32" i="5"/>
  <c r="D30" i="15" s="1"/>
  <c r="Y30" i="16" s="1"/>
  <c r="D9" i="15"/>
  <c r="I9" i="16" s="1"/>
  <c r="Q9" i="16"/>
  <c r="W9" i="16"/>
  <c r="G9" i="16"/>
  <c r="M9" i="16"/>
  <c r="S9" i="16"/>
  <c r="S8" i="16" s="1"/>
  <c r="C9" i="16"/>
  <c r="C8" i="16" s="1"/>
  <c r="K30" i="16" l="1"/>
  <c r="U30" i="16"/>
  <c r="O30" i="16"/>
  <c r="I30" i="16"/>
  <c r="E30" i="16"/>
  <c r="U22" i="16"/>
  <c r="U20" i="16"/>
  <c r="S30" i="16"/>
  <c r="Q30" i="16"/>
  <c r="G30" i="16"/>
  <c r="C30" i="16"/>
  <c r="W30" i="16"/>
  <c r="M30" i="16"/>
  <c r="C12" i="12"/>
  <c r="E12" i="12" s="1"/>
  <c r="E9" i="12"/>
  <c r="R16" i="16"/>
  <c r="S16" i="16" s="1"/>
  <c r="R15" i="16"/>
  <c r="S15" i="16" s="1"/>
  <c r="D8" i="15"/>
  <c r="E9" i="16"/>
  <c r="O9" i="16"/>
  <c r="O8" i="16" s="1"/>
  <c r="Y9" i="16"/>
  <c r="Y8" i="16" s="1"/>
  <c r="V15" i="16"/>
  <c r="W15" i="16" s="1"/>
  <c r="F15" i="16"/>
  <c r="G15" i="16" s="1"/>
  <c r="T15" i="16"/>
  <c r="U15" i="16" s="1"/>
  <c r="D15" i="16"/>
  <c r="E15" i="16" s="1"/>
  <c r="N15" i="16"/>
  <c r="O15" i="16" s="1"/>
  <c r="L15" i="16"/>
  <c r="M15" i="16" s="1"/>
  <c r="S5" i="16"/>
  <c r="S2" i="16" s="1"/>
  <c r="W5" i="16"/>
  <c r="W2" i="16" s="1"/>
  <c r="O5" i="16"/>
  <c r="O2" i="16" s="1"/>
  <c r="I5" i="16"/>
  <c r="Q5" i="16"/>
  <c r="Y5" i="16"/>
  <c r="D3" i="15"/>
  <c r="Q4" i="16"/>
  <c r="K4" i="16"/>
  <c r="I27" i="16"/>
  <c r="Q27" i="16"/>
  <c r="Y27" i="16"/>
  <c r="G10" i="16"/>
  <c r="G8" i="16" s="1"/>
  <c r="O10" i="16"/>
  <c r="E11" i="16"/>
  <c r="M11" i="16"/>
  <c r="M8" i="16" s="1"/>
  <c r="U11" i="16"/>
  <c r="C4" i="16"/>
  <c r="M2" i="16"/>
  <c r="G11" i="16"/>
  <c r="O11" i="16"/>
  <c r="W11" i="16"/>
  <c r="W8" i="16" s="1"/>
  <c r="K9" i="16"/>
  <c r="K8" i="16" s="1"/>
  <c r="U9" i="16"/>
  <c r="U8" i="16" s="1"/>
  <c r="C5" i="16"/>
  <c r="G5" i="16"/>
  <c r="G2" i="16" s="1"/>
  <c r="K5" i="16"/>
  <c r="E5" i="16"/>
  <c r="E2" i="16" s="1"/>
  <c r="M5" i="16"/>
  <c r="I4" i="16"/>
  <c r="Y4" i="16"/>
  <c r="E27" i="16"/>
  <c r="M27" i="16"/>
  <c r="I11" i="16"/>
  <c r="I8" i="16" s="1"/>
  <c r="Q11" i="16"/>
  <c r="Q8" i="16" s="1"/>
  <c r="G24" i="16" l="1"/>
  <c r="G22" i="16"/>
  <c r="G20" i="16"/>
  <c r="O24" i="16"/>
  <c r="O20" i="16"/>
  <c r="O22" i="16"/>
  <c r="O18" i="16"/>
  <c r="O19" i="16"/>
  <c r="O14" i="16"/>
  <c r="W18" i="16"/>
  <c r="W19" i="16"/>
  <c r="W14" i="16" s="1"/>
  <c r="W7" i="16" s="1"/>
  <c r="W26" i="16" s="1"/>
  <c r="W29" i="16" s="1"/>
  <c r="B16" i="16"/>
  <c r="C16" i="16" s="1"/>
  <c r="C2" i="16"/>
  <c r="B15" i="16"/>
  <c r="C15" i="16" s="1"/>
  <c r="W22" i="16"/>
  <c r="W24" i="16"/>
  <c r="W20" i="16"/>
  <c r="E18" i="16"/>
  <c r="E14" i="16" s="1"/>
  <c r="E19" i="16"/>
  <c r="S19" i="16"/>
  <c r="S18" i="16"/>
  <c r="S14" i="16" s="1"/>
  <c r="S7" i="16" s="1"/>
  <c r="S26" i="16" s="1"/>
  <c r="S29" i="16" s="1"/>
  <c r="X15" i="16"/>
  <c r="Y15" i="16" s="1"/>
  <c r="X16" i="16"/>
  <c r="Y16" i="16" s="1"/>
  <c r="Y2" i="16"/>
  <c r="H15" i="16"/>
  <c r="I15" i="16" s="1"/>
  <c r="H16" i="16"/>
  <c r="I16" i="16" s="1"/>
  <c r="I2" i="16"/>
  <c r="B20" i="15"/>
  <c r="D20" i="15" s="1"/>
  <c r="B24" i="15"/>
  <c r="D24" i="15" s="1"/>
  <c r="D22" i="15"/>
  <c r="E24" i="16"/>
  <c r="E20" i="16"/>
  <c r="E22" i="16"/>
  <c r="J16" i="16"/>
  <c r="K16" i="16" s="1"/>
  <c r="K2" i="16"/>
  <c r="J15" i="16"/>
  <c r="K15" i="16" s="1"/>
  <c r="S20" i="16"/>
  <c r="S24" i="16"/>
  <c r="S22" i="16"/>
  <c r="U18" i="16"/>
  <c r="U19" i="16"/>
  <c r="U14" i="16"/>
  <c r="U7" i="16" s="1"/>
  <c r="U26" i="16" s="1"/>
  <c r="U29" i="16" s="1"/>
  <c r="O7" i="16"/>
  <c r="O26" i="16" s="1"/>
  <c r="O29" i="16" s="1"/>
  <c r="M20" i="16"/>
  <c r="M24" i="16"/>
  <c r="M22" i="16"/>
  <c r="P15" i="16"/>
  <c r="Q15" i="16" s="1"/>
  <c r="P16" i="16"/>
  <c r="Q16" i="16" s="1"/>
  <c r="Q2" i="16"/>
  <c r="M19" i="16"/>
  <c r="M18" i="16"/>
  <c r="M14" i="16" s="1"/>
  <c r="M7" i="16" s="1"/>
  <c r="M26" i="16" s="1"/>
  <c r="M29" i="16" s="1"/>
  <c r="G18" i="16"/>
  <c r="G14" i="16" s="1"/>
  <c r="G7" i="16" s="1"/>
  <c r="G26" i="16" s="1"/>
  <c r="G29" i="16" s="1"/>
  <c r="G19" i="16"/>
  <c r="E8" i="16"/>
  <c r="Y18" i="16" l="1"/>
  <c r="Y14" i="16" s="1"/>
  <c r="Y7" i="16" s="1"/>
  <c r="Y26" i="16" s="1"/>
  <c r="Y29" i="16" s="1"/>
  <c r="Y19" i="16"/>
  <c r="C19" i="16"/>
  <c r="C18" i="16"/>
  <c r="C14" i="16" s="1"/>
  <c r="C7" i="16" s="1"/>
  <c r="C26" i="16" s="1"/>
  <c r="C29" i="16" s="1"/>
  <c r="Q24" i="16"/>
  <c r="Q22" i="16"/>
  <c r="Q20" i="16"/>
  <c r="I20" i="16"/>
  <c r="I24" i="16"/>
  <c r="I22" i="16"/>
  <c r="Q18" i="16"/>
  <c r="Q14" i="16"/>
  <c r="Q7" i="16" s="1"/>
  <c r="Q26" i="16" s="1"/>
  <c r="Q29" i="16" s="1"/>
  <c r="Q19" i="16"/>
  <c r="I19" i="16"/>
  <c r="I18" i="16"/>
  <c r="I14" i="16" s="1"/>
  <c r="I7" i="16" s="1"/>
  <c r="I26" i="16" s="1"/>
  <c r="I29" i="16" s="1"/>
  <c r="C24" i="16"/>
  <c r="C22" i="16"/>
  <c r="K18" i="16"/>
  <c r="K14" i="16" s="1"/>
  <c r="K7" i="16" s="1"/>
  <c r="K26" i="16" s="1"/>
  <c r="K29" i="16" s="1"/>
  <c r="K19" i="16"/>
  <c r="E7" i="16"/>
  <c r="E26" i="16" s="1"/>
  <c r="E29" i="16" s="1"/>
  <c r="K22" i="16"/>
  <c r="K24" i="16"/>
  <c r="K20" i="16"/>
  <c r="D14" i="15"/>
  <c r="D7" i="15" s="1"/>
  <c r="D26" i="15" s="1"/>
  <c r="D29" i="15" s="1"/>
  <c r="Y24" i="16"/>
  <c r="Y22" i="16"/>
  <c r="Y20" i="16"/>
  <c r="E31" i="16" l="1"/>
  <c r="G31" i="16" s="1"/>
  <c r="I31" i="16" s="1"/>
  <c r="K31" i="16" s="1"/>
  <c r="M31" i="16" s="1"/>
  <c r="O31" i="16" s="1"/>
  <c r="Q31" i="16" s="1"/>
  <c r="S31" i="16" s="1"/>
  <c r="C31" i="16"/>
  <c r="C35" i="15"/>
  <c r="C32" i="15"/>
  <c r="C33" i="15"/>
  <c r="C34" i="15"/>
  <c r="W31" i="16" l="1"/>
  <c r="Y31" i="16" s="1"/>
  <c r="U31" i="16"/>
</calcChain>
</file>

<file path=xl/sharedStrings.xml><?xml version="1.0" encoding="utf-8"?>
<sst xmlns="http://schemas.openxmlformats.org/spreadsheetml/2006/main" count="181" uniqueCount="141">
  <si>
    <t>Выберите начальные параметры</t>
  </si>
  <si>
    <t>Стоимость аренды за кв.м.:</t>
  </si>
  <si>
    <t>Косметический ремонт</t>
  </si>
  <si>
    <t>Какой ремонт нужен?</t>
  </si>
  <si>
    <t>Капитальный ремонт</t>
  </si>
  <si>
    <t>Источник средств</t>
  </si>
  <si>
    <t>Собственные</t>
  </si>
  <si>
    <t>Заемные</t>
  </si>
  <si>
    <t>Цена</t>
  </si>
  <si>
    <t>Уход за волосами</t>
  </si>
  <si>
    <t>Маникюр</t>
  </si>
  <si>
    <t>Педикюр</t>
  </si>
  <si>
    <t>Наращивание ногтей</t>
  </si>
  <si>
    <t>Наращивание ресниц</t>
  </si>
  <si>
    <t>Количество</t>
  </si>
  <si>
    <t>Стоимость</t>
  </si>
  <si>
    <t>Ремонт помещения</t>
  </si>
  <si>
    <t>Паушальный взнос</t>
  </si>
  <si>
    <t>ИТОГО ЗАТРАТЫ НА ОТКРЫТИЕ</t>
  </si>
  <si>
    <t>Кол-во</t>
  </si>
  <si>
    <t>Сумма</t>
  </si>
  <si>
    <t>Расходы</t>
  </si>
  <si>
    <t>Постоянные</t>
  </si>
  <si>
    <t>Бухгалтерское обслуживание</t>
  </si>
  <si>
    <t>Уборка</t>
  </si>
  <si>
    <t>Переменные</t>
  </si>
  <si>
    <t>Страховые взносы</t>
  </si>
  <si>
    <t>НДФЛ</t>
  </si>
  <si>
    <t>Прибыль, до налогов</t>
  </si>
  <si>
    <t>Роялти</t>
  </si>
  <si>
    <t>Чистая прибыль</t>
  </si>
  <si>
    <t>Возврат заемных средств</t>
  </si>
  <si>
    <t>Доля чистой прибыли:</t>
  </si>
  <si>
    <t>Окупаемость (мес., если вся прибыль идет на погашение):</t>
  </si>
  <si>
    <t>Окупаемость с учетом возврата заемных средств (мес.):</t>
  </si>
  <si>
    <t>Коэффициент окупаемости инвестиций:</t>
  </si>
  <si>
    <t>Процент по кредиту:</t>
  </si>
  <si>
    <t>Срок кредита (лет):</t>
  </si>
  <si>
    <t>1 месяц</t>
  </si>
  <si>
    <t>2 месяц</t>
  </si>
  <si>
    <t>3 месяц</t>
  </si>
  <si>
    <t>4 месяц</t>
  </si>
  <si>
    <t>5 месяц</t>
  </si>
  <si>
    <t>6 месяц</t>
  </si>
  <si>
    <t>7 месяц</t>
  </si>
  <si>
    <t>8 месяц</t>
  </si>
  <si>
    <t>9 месяц</t>
  </si>
  <si>
    <t>10 месяц</t>
  </si>
  <si>
    <t>11 месяц</t>
  </si>
  <si>
    <t>12 месяц</t>
  </si>
  <si>
    <t>Заработная плата</t>
  </si>
  <si>
    <t>НДФЛ - 13%, уплачивается предприятием с официальной заработной платы сотрудников (ФОТ) - таким образом, сумма НДФЛ удерживается из заработной платы</t>
  </si>
  <si>
    <t>ЕСН</t>
  </si>
  <si>
    <t>УСН</t>
  </si>
  <si>
    <t>Доход-расход</t>
  </si>
  <si>
    <t>Выборка из прайс-листа, г.Ижевск</t>
  </si>
  <si>
    <t>Услуга</t>
  </si>
  <si>
    <t>ЗП мастера</t>
  </si>
  <si>
    <t>Себестоимость препаратов</t>
  </si>
  <si>
    <t>Маржа с услуги</t>
  </si>
  <si>
    <t>Детский зал , стрижки от</t>
  </si>
  <si>
    <t>Мужской зал</t>
  </si>
  <si>
    <t>Молодежная, модельная, теннис</t>
  </si>
  <si>
    <t>Мытье и сушка</t>
  </si>
  <si>
    <t>Итого мужская стрижка</t>
  </si>
  <si>
    <t>Женский зал</t>
  </si>
  <si>
    <t>Молодежная, модельная</t>
  </si>
  <si>
    <t>Мытье волос с бальзамом короткий/средний волос</t>
  </si>
  <si>
    <t>Сушка короткий волос</t>
  </si>
  <si>
    <t>Сложные работы</t>
  </si>
  <si>
    <t>Окрашивание крем краской ESTEL Deluxe, Средний волос (до 25 см)</t>
  </si>
  <si>
    <t>Мелирование ESTEL Средний волос (до 25 см)</t>
  </si>
  <si>
    <t>Прически/укладки, средняя цена</t>
  </si>
  <si>
    <t>Ногтевая студия</t>
  </si>
  <si>
    <t>Солярий, средний сеанс 7 мин</t>
  </si>
  <si>
    <t>Выберите площадь помещения: 
(от 50 до 70 кв.м.)</t>
  </si>
  <si>
    <t>Возможные услуги 
(не включены в итоговые вычисления)</t>
  </si>
  <si>
    <t>Вентиляция</t>
  </si>
  <si>
    <t>Риэлтор</t>
  </si>
  <si>
    <t>Хоз. Инвентарь</t>
  </si>
  <si>
    <t>Оборудование для пекарни</t>
  </si>
  <si>
    <t>Регистрация юр. Лица</t>
  </si>
  <si>
    <t>Реклама: вывеска, промо, логотип</t>
  </si>
  <si>
    <t>Охранная сигнализация и видеонаблюдение</t>
  </si>
  <si>
    <t>Сырье на первую неделю</t>
  </si>
  <si>
    <t>Техзапуск + 3 дня</t>
  </si>
  <si>
    <t>Торговая зона</t>
  </si>
  <si>
    <t>Кассовое оборудование</t>
  </si>
  <si>
    <t>Производственная зона</t>
  </si>
  <si>
    <t>Общестроительные работы</t>
  </si>
  <si>
    <t>Прочее</t>
  </si>
  <si>
    <t>Конвекционная печь</t>
  </si>
  <si>
    <t>Вывод вентиляции на крышу многоквартирного дома</t>
  </si>
  <si>
    <t>Согласование вентиляции в многоквартирном доме</t>
  </si>
  <si>
    <t>Тип трафика</t>
  </si>
  <si>
    <t>Тип помещения</t>
  </si>
  <si>
    <t>Проходимость (трафик) в час</t>
  </si>
  <si>
    <t>Спальник</t>
  </si>
  <si>
    <t>Транзит</t>
  </si>
  <si>
    <t>Смешенный</t>
  </si>
  <si>
    <t>В МКД</t>
  </si>
  <si>
    <t>В нежилом здании</t>
  </si>
  <si>
    <t>Доход в месяц</t>
  </si>
  <si>
    <t>Выручка в будни</t>
  </si>
  <si>
    <t>Выручка в выходные</t>
  </si>
  <si>
    <t>Аренда</t>
  </si>
  <si>
    <t>Интернет, охрана</t>
  </si>
  <si>
    <t>Пекарь</t>
  </si>
  <si>
    <t>Продавец</t>
  </si>
  <si>
    <t>Кухонный работник</t>
  </si>
  <si>
    <t>Пекарь (в смене)</t>
  </si>
  <si>
    <t>Продавец (в смене)</t>
  </si>
  <si>
    <t>Кухонный работник (в смене)</t>
  </si>
  <si>
    <t>Комбайн если выручка болье 50 000</t>
  </si>
  <si>
    <t>Конвекция если вручка больше 60 000</t>
  </si>
  <si>
    <t>Формула: Если выручка до 25, то 1 пекарь, если больше, то выручка делить на 25 000, округлить до целого +1</t>
  </si>
  <si>
    <t>ЕНВД</t>
  </si>
  <si>
    <t>Патент</t>
  </si>
  <si>
    <t>Фиксированная оплата зависит от оборота и числа сотрудников. Устанавливается в каждом регионе индивидуально</t>
  </si>
  <si>
    <t>Уплачивается с торговой площади. Устанавливается в каждом регионе индивидуально</t>
  </si>
  <si>
    <t>Сырье</t>
  </si>
  <si>
    <t>Маркетинговый сбор</t>
  </si>
  <si>
    <t>Коммунальные платежи</t>
  </si>
  <si>
    <t>Система налогообложения</t>
  </si>
  <si>
    <t>Транспортные расходы</t>
  </si>
  <si>
    <t>Брак, списание</t>
  </si>
  <si>
    <t>Прочее расходы, материалы</t>
  </si>
  <si>
    <t>Налоги, УСН 10% или 6%</t>
  </si>
  <si>
    <t>Коэффициент</t>
  </si>
  <si>
    <t>печать 1 пекарь</t>
  </si>
  <si>
    <t>продает 1 продавец</t>
  </si>
  <si>
    <t>Будни после коэффициента</t>
  </si>
  <si>
    <t>Выходные после коэффицента</t>
  </si>
  <si>
    <t xml:space="preserve">п.8 части 1 ст.58 Федерального закона от 24.09.2009 № 212-ФЗ, некоторые виды деятельности на УСН, в т.ч. , освобождаются от уплаты ФСС (кроме 0,2% от НС и ПЗ и отменяется ФОМС) </t>
  </si>
  <si>
    <t>Уплачивается с официального оборота компании.</t>
  </si>
  <si>
    <t>Мебель</t>
  </si>
  <si>
    <t>Доставка + пуско-наладка</t>
  </si>
  <si>
    <t>Комбайн для нарезки овощей</t>
  </si>
  <si>
    <t>Возврат вложенных средств</t>
  </si>
  <si>
    <t>Транспортные расходы в город УФА</t>
  </si>
  <si>
    <t>Окупаемость 7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</si>
</sst>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₽&quot;_-;\-* #,##0.00\ &quot;₽&quot;_-;_-* &quot;-&quot;??\ &quot;₽&quot;_-;_-@_-"/>
    <numFmt numFmtId="164" formatCode="_-* #,##0.00_р_._-;\-* #,##0.00_р_._-;_-* &quot;-&quot;??_р_._-;_-@_-"/>
    <numFmt numFmtId="165" formatCode="0.0%"/>
    <numFmt numFmtId="166" formatCode="_-* #,##0.0_р_._-;\-* #,##0.0_р_._-;_-* &quot;-&quot;??_р_._-;_-@_-"/>
    <numFmt numFmtId="167" formatCode="_-* #,##0_р_._-;\-* #,##0_р_._-;_-* &quot;-&quot;??_р_._-;_-@_-"/>
    <numFmt numFmtId="168" formatCode="_-* #,##0\ &quot;₽&quot;_-;\-* #,##0\ &quot;₽&quot;_-;_-* &quot;-&quot;??\ &quot;₽&quot;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0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4" xfId="0" applyFont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0" fillId="0" borderId="4" xfId="0" applyFont="1" applyBorder="1" applyAlignment="1">
      <alignment wrapText="1"/>
    </xf>
    <xf numFmtId="1" fontId="2" fillId="0" borderId="4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wrapText="1"/>
    </xf>
    <xf numFmtId="0" fontId="0" fillId="0" borderId="6" xfId="0" applyFont="1" applyFill="1" applyBorder="1" applyAlignment="1">
      <alignment vertical="center" wrapText="1"/>
    </xf>
    <xf numFmtId="1" fontId="2" fillId="0" borderId="6" xfId="0" applyNumberFormat="1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2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1" fontId="0" fillId="0" borderId="5" xfId="0" applyNumberFormat="1" applyFont="1" applyBorder="1" applyAlignment="1">
      <alignment wrapText="1"/>
    </xf>
    <xf numFmtId="1" fontId="0" fillId="2" borderId="2" xfId="0" applyNumberFormat="1" applyFont="1" applyFill="1" applyBorder="1" applyAlignment="1">
      <alignment wrapText="1"/>
    </xf>
    <xf numFmtId="0" fontId="0" fillId="0" borderId="6" xfId="0" applyFont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3" fillId="3" borderId="0" xfId="0" applyFont="1" applyFill="1" applyBorder="1" applyProtection="1">
      <protection hidden="1"/>
    </xf>
    <xf numFmtId="0" fontId="3" fillId="3" borderId="0" xfId="0" applyFont="1" applyFill="1" applyProtection="1">
      <protection hidden="1"/>
    </xf>
    <xf numFmtId="0" fontId="3" fillId="3" borderId="4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3" borderId="4" xfId="0" applyFont="1" applyFill="1" applyBorder="1" applyAlignment="1" applyProtection="1">
      <alignment vertical="center" wrapText="1"/>
      <protection hidden="1"/>
    </xf>
    <xf numFmtId="0" fontId="3" fillId="3" borderId="4" xfId="0" applyFont="1" applyFill="1" applyBorder="1" applyAlignment="1" applyProtection="1">
      <alignment wrapText="1"/>
      <protection hidden="1"/>
    </xf>
    <xf numFmtId="0" fontId="3" fillId="3" borderId="4" xfId="0" applyFont="1" applyFill="1" applyBorder="1" applyAlignment="1" applyProtection="1">
      <alignment horizontal="center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Protection="1">
      <protection hidden="1"/>
    </xf>
    <xf numFmtId="9" fontId="4" fillId="3" borderId="0" xfId="0" applyNumberFormat="1" applyFont="1" applyFill="1" applyBorder="1" applyProtection="1">
      <protection hidden="1"/>
    </xf>
    <xf numFmtId="0" fontId="3" fillId="3" borderId="0" xfId="0" applyFont="1" applyFill="1" applyBorder="1" applyAlignment="1" applyProtection="1">
      <protection hidden="1"/>
    </xf>
    <xf numFmtId="0" fontId="6" fillId="5" borderId="4" xfId="0" applyFont="1" applyFill="1" applyBorder="1" applyAlignment="1" applyProtection="1">
      <alignment horizontal="center" vertical="center"/>
      <protection locked="0" hidden="1"/>
    </xf>
    <xf numFmtId="9" fontId="6" fillId="5" borderId="4" xfId="0" applyNumberFormat="1" applyFont="1" applyFill="1" applyBorder="1" applyAlignment="1" applyProtection="1">
      <alignment horizontal="center" vertical="center"/>
      <protection locked="0" hidden="1"/>
    </xf>
    <xf numFmtId="0" fontId="8" fillId="0" borderId="4" xfId="0" applyFont="1" applyFill="1" applyBorder="1" applyAlignment="1" applyProtection="1">
      <alignment horizontal="left"/>
      <protection hidden="1"/>
    </xf>
    <xf numFmtId="0" fontId="8" fillId="0" borderId="4" xfId="0" applyFont="1" applyFill="1" applyBorder="1" applyProtection="1">
      <protection hidden="1"/>
    </xf>
    <xf numFmtId="0" fontId="8" fillId="0" borderId="4" xfId="0" applyFont="1" applyFill="1" applyBorder="1" applyAlignment="1" applyProtection="1">
      <alignment horizontal="center"/>
      <protection hidden="1"/>
    </xf>
    <xf numFmtId="0" fontId="9" fillId="0" borderId="4" xfId="0" applyFont="1" applyFill="1" applyBorder="1" applyProtection="1">
      <protection hidden="1"/>
    </xf>
    <xf numFmtId="9" fontId="8" fillId="0" borderId="4" xfId="0" applyNumberFormat="1" applyFont="1" applyFill="1" applyBorder="1" applyAlignment="1" applyProtection="1">
      <alignment horizontal="center"/>
      <protection hidden="1"/>
    </xf>
    <xf numFmtId="0" fontId="8" fillId="3" borderId="0" xfId="0" applyFont="1" applyFill="1" applyBorder="1" applyProtection="1">
      <protection hidden="1"/>
    </xf>
    <xf numFmtId="0" fontId="8" fillId="3" borderId="0" xfId="0" applyFont="1" applyFill="1" applyBorder="1" applyAlignment="1" applyProtection="1">
      <alignment horizontal="center"/>
      <protection hidden="1"/>
    </xf>
    <xf numFmtId="0" fontId="8" fillId="3" borderId="4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3" fontId="9" fillId="4" borderId="4" xfId="0" applyNumberFormat="1" applyFont="1" applyFill="1" applyBorder="1" applyAlignment="1" applyProtection="1">
      <alignment horizontal="center"/>
      <protection hidden="1"/>
    </xf>
    <xf numFmtId="3" fontId="8" fillId="0" borderId="4" xfId="0" applyNumberFormat="1" applyFont="1" applyFill="1" applyBorder="1" applyAlignment="1" applyProtection="1">
      <alignment horizontal="center"/>
      <protection hidden="1"/>
    </xf>
    <xf numFmtId="3" fontId="9" fillId="0" borderId="4" xfId="0" applyNumberFormat="1" applyFont="1" applyFill="1" applyBorder="1" applyAlignment="1" applyProtection="1">
      <alignment horizontal="center"/>
      <protection hidden="1"/>
    </xf>
    <xf numFmtId="3" fontId="3" fillId="3" borderId="0" xfId="0" applyNumberFormat="1" applyFont="1" applyFill="1" applyBorder="1" applyAlignment="1" applyProtection="1">
      <alignment horizontal="center"/>
      <protection hidden="1"/>
    </xf>
    <xf numFmtId="3" fontId="3" fillId="0" borderId="0" xfId="0" applyNumberFormat="1" applyFont="1" applyFill="1" applyBorder="1" applyAlignment="1" applyProtection="1">
      <alignment horizontal="center"/>
      <protection hidden="1"/>
    </xf>
    <xf numFmtId="0" fontId="8" fillId="0" borderId="4" xfId="0" applyFont="1" applyFill="1" applyBorder="1" applyAlignment="1" applyProtection="1">
      <alignment wrapText="1"/>
      <protection hidden="1"/>
    </xf>
    <xf numFmtId="0" fontId="8" fillId="3" borderId="4" xfId="0" applyFont="1" applyFill="1" applyBorder="1" applyAlignment="1" applyProtection="1">
      <alignment horizontal="center"/>
      <protection hidden="1"/>
    </xf>
    <xf numFmtId="0" fontId="9" fillId="4" borderId="4" xfId="0" applyFont="1" applyFill="1" applyBorder="1" applyProtection="1"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9" fontId="8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/>
    <xf numFmtId="9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4" fontId="8" fillId="0" borderId="4" xfId="0" applyNumberFormat="1" applyFont="1" applyFill="1" applyBorder="1" applyAlignment="1" applyProtection="1">
      <alignment horizontal="center" vertical="center" wrapText="1"/>
      <protection hidden="1"/>
    </xf>
    <xf numFmtId="3" fontId="8" fillId="3" borderId="0" xfId="0" applyNumberFormat="1" applyFont="1" applyFill="1" applyBorder="1" applyAlignment="1" applyProtection="1">
      <alignment horizontal="center"/>
      <protection hidden="1"/>
    </xf>
    <xf numFmtId="0" fontId="3" fillId="0" borderId="4" xfId="0" applyFont="1" applyFill="1" applyBorder="1" applyAlignment="1">
      <alignment horizontal="center" vertical="top"/>
    </xf>
    <xf numFmtId="9" fontId="3" fillId="0" borderId="4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vertical="top" wrapText="1"/>
    </xf>
    <xf numFmtId="165" fontId="3" fillId="0" borderId="4" xfId="0" applyNumberFormat="1" applyFont="1" applyFill="1" applyBorder="1" applyAlignment="1">
      <alignment horizontal="center" vertical="top"/>
    </xf>
    <xf numFmtId="0" fontId="3" fillId="0" borderId="4" xfId="0" applyNumberFormat="1" applyFont="1" applyFill="1" applyBorder="1" applyAlignment="1">
      <alignment vertical="top" wrapText="1"/>
    </xf>
    <xf numFmtId="0" fontId="3" fillId="3" borderId="4" xfId="0" applyFont="1" applyFill="1" applyBorder="1" applyAlignment="1" applyProtection="1">
      <alignment horizontal="center"/>
      <protection hidden="1"/>
    </xf>
    <xf numFmtId="3" fontId="8" fillId="6" borderId="4" xfId="0" applyNumberFormat="1" applyFont="1" applyFill="1" applyBorder="1" applyAlignment="1" applyProtection="1">
      <alignment horizontal="center"/>
      <protection hidden="1"/>
    </xf>
    <xf numFmtId="0" fontId="13" fillId="0" borderId="4" xfId="0" applyFont="1" applyFill="1" applyBorder="1" applyProtection="1">
      <protection hidden="1"/>
    </xf>
    <xf numFmtId="3" fontId="13" fillId="0" borderId="4" xfId="0" applyNumberFormat="1" applyFont="1" applyFill="1" applyBorder="1" applyAlignment="1" applyProtection="1">
      <alignment horizontal="center"/>
      <protection hidden="1"/>
    </xf>
    <xf numFmtId="0" fontId="9" fillId="7" borderId="4" xfId="0" applyFont="1" applyFill="1" applyBorder="1" applyProtection="1">
      <protection hidden="1"/>
    </xf>
    <xf numFmtId="3" fontId="8" fillId="7" borderId="4" xfId="0" applyNumberFormat="1" applyFont="1" applyFill="1" applyBorder="1" applyAlignment="1" applyProtection="1">
      <alignment horizontal="center"/>
      <protection hidden="1"/>
    </xf>
    <xf numFmtId="3" fontId="9" fillId="7" borderId="4" xfId="0" applyNumberFormat="1" applyFont="1" applyFill="1" applyBorder="1" applyAlignment="1" applyProtection="1">
      <alignment horizontal="center"/>
      <protection hidden="1"/>
    </xf>
    <xf numFmtId="0" fontId="10" fillId="7" borderId="4" xfId="0" applyFont="1" applyFill="1" applyBorder="1" applyProtection="1">
      <protection hidden="1"/>
    </xf>
    <xf numFmtId="3" fontId="11" fillId="7" borderId="4" xfId="0" applyNumberFormat="1" applyFont="1" applyFill="1" applyBorder="1" applyAlignment="1" applyProtection="1">
      <alignment horizontal="center"/>
      <protection hidden="1"/>
    </xf>
    <xf numFmtId="3" fontId="10" fillId="7" borderId="4" xfId="0" applyNumberFormat="1" applyFont="1" applyFill="1" applyBorder="1" applyAlignment="1" applyProtection="1">
      <alignment horizontal="center"/>
      <protection hidden="1"/>
    </xf>
    <xf numFmtId="0" fontId="12" fillId="7" borderId="4" xfId="0" applyFont="1" applyFill="1" applyBorder="1" applyAlignment="1" applyProtection="1">
      <alignment wrapText="1"/>
      <protection hidden="1"/>
    </xf>
    <xf numFmtId="3" fontId="12" fillId="7" borderId="4" xfId="0" applyNumberFormat="1" applyFont="1" applyFill="1" applyBorder="1" applyAlignment="1" applyProtection="1">
      <alignment horizontal="center"/>
      <protection hidden="1"/>
    </xf>
    <xf numFmtId="0" fontId="3" fillId="6" borderId="4" xfId="0" applyNumberFormat="1" applyFont="1" applyFill="1" applyBorder="1" applyAlignment="1">
      <alignment vertical="top" wrapText="1"/>
    </xf>
    <xf numFmtId="168" fontId="3" fillId="0" borderId="4" xfId="3" applyNumberFormat="1" applyFont="1" applyFill="1" applyBorder="1" applyAlignment="1">
      <alignment horizontal="center" vertical="top"/>
    </xf>
    <xf numFmtId="167" fontId="8" fillId="0" borderId="4" xfId="2" applyNumberFormat="1" applyFont="1" applyFill="1" applyBorder="1" applyProtection="1">
      <protection hidden="1"/>
    </xf>
    <xf numFmtId="167" fontId="3" fillId="3" borderId="0" xfId="2" applyNumberFormat="1" applyFont="1" applyFill="1" applyProtection="1">
      <protection hidden="1"/>
    </xf>
    <xf numFmtId="167" fontId="9" fillId="4" borderId="4" xfId="2" applyNumberFormat="1" applyFont="1" applyFill="1" applyBorder="1" applyProtection="1">
      <protection hidden="1"/>
    </xf>
    <xf numFmtId="167" fontId="9" fillId="0" borderId="4" xfId="2" applyNumberFormat="1" applyFont="1" applyFill="1" applyBorder="1" applyProtection="1">
      <protection hidden="1"/>
    </xf>
    <xf numFmtId="167" fontId="8" fillId="0" borderId="4" xfId="2" applyNumberFormat="1" applyFont="1" applyFill="1" applyBorder="1" applyAlignment="1" applyProtection="1">
      <alignment horizontal="left"/>
      <protection hidden="1"/>
    </xf>
    <xf numFmtId="167" fontId="8" fillId="0" borderId="4" xfId="2" applyNumberFormat="1" applyFont="1" applyFill="1" applyBorder="1" applyAlignment="1" applyProtection="1">
      <alignment wrapText="1"/>
      <protection hidden="1"/>
    </xf>
    <xf numFmtId="0" fontId="5" fillId="3" borderId="4" xfId="0" applyFont="1" applyFill="1" applyBorder="1" applyAlignment="1" applyProtection="1">
      <alignment horizontal="center"/>
      <protection hidden="1"/>
    </xf>
    <xf numFmtId="167" fontId="5" fillId="3" borderId="4" xfId="2" applyNumberFormat="1" applyFont="1" applyFill="1" applyBorder="1" applyAlignment="1" applyProtection="1">
      <alignment horizontal="center"/>
      <protection hidden="1"/>
    </xf>
    <xf numFmtId="166" fontId="8" fillId="0" borderId="4" xfId="2" applyNumberFormat="1" applyFont="1" applyFill="1" applyBorder="1" applyAlignment="1" applyProtection="1">
      <alignment vertical="center"/>
      <protection hidden="1"/>
    </xf>
    <xf numFmtId="167" fontId="5" fillId="3" borderId="4" xfId="2" applyNumberFormat="1" applyFont="1" applyFill="1" applyBorder="1" applyAlignment="1" applyProtection="1">
      <alignment horizontal="center" vertical="center"/>
      <protection hidden="1"/>
    </xf>
    <xf numFmtId="0" fontId="9" fillId="4" borderId="4" xfId="0" applyFont="1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0" fontId="9" fillId="0" borderId="4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167" fontId="9" fillId="4" borderId="4" xfId="2" applyNumberFormat="1" applyFont="1" applyFill="1" applyBorder="1" applyAlignment="1" applyProtection="1">
      <alignment horizontal="center" vertical="center"/>
      <protection hidden="1"/>
    </xf>
    <xf numFmtId="166" fontId="8" fillId="0" borderId="4" xfId="2" applyNumberFormat="1" applyFont="1" applyFill="1" applyBorder="1" applyAlignment="1" applyProtection="1">
      <alignment horizontal="center" vertical="center"/>
      <protection hidden="1"/>
    </xf>
    <xf numFmtId="167" fontId="8" fillId="0" borderId="4" xfId="2" applyNumberFormat="1" applyFont="1" applyFill="1" applyBorder="1" applyAlignment="1" applyProtection="1">
      <alignment horizontal="center" vertical="center"/>
      <protection hidden="1"/>
    </xf>
    <xf numFmtId="167" fontId="9" fillId="0" borderId="4" xfId="2" applyNumberFormat="1" applyFont="1" applyFill="1" applyBorder="1" applyAlignment="1" applyProtection="1">
      <alignment horizontal="center" vertical="center"/>
      <protection hidden="1"/>
    </xf>
    <xf numFmtId="167" fontId="8" fillId="0" borderId="4" xfId="2" applyNumberFormat="1" applyFont="1" applyFill="1" applyBorder="1" applyAlignment="1" applyProtection="1">
      <alignment horizontal="center" vertical="center" wrapText="1"/>
      <protection hidden="1"/>
    </xf>
    <xf numFmtId="167" fontId="3" fillId="3" borderId="0" xfId="2" applyNumberFormat="1" applyFont="1" applyFill="1" applyAlignment="1" applyProtection="1">
      <alignment horizontal="center" vertical="center"/>
      <protection hidden="1"/>
    </xf>
    <xf numFmtId="164" fontId="8" fillId="0" borderId="4" xfId="2" applyFont="1" applyFill="1" applyBorder="1" applyAlignment="1" applyProtection="1">
      <alignment horizontal="center" vertical="center"/>
      <protection hidden="1"/>
    </xf>
    <xf numFmtId="164" fontId="8" fillId="0" borderId="4" xfId="2" applyFont="1" applyFill="1" applyBorder="1" applyAlignment="1" applyProtection="1">
      <alignment vertical="center"/>
      <protection hidden="1"/>
    </xf>
    <xf numFmtId="0" fontId="9" fillId="3" borderId="0" xfId="0" applyFont="1" applyFill="1" applyBorder="1" applyProtection="1">
      <protection hidden="1"/>
    </xf>
    <xf numFmtId="0" fontId="3" fillId="3" borderId="4" xfId="0" applyFont="1" applyFill="1" applyBorder="1" applyAlignment="1" applyProtection="1">
      <alignment horizontal="center" vertical="center"/>
      <protection hidden="1"/>
    </xf>
    <xf numFmtId="167" fontId="3" fillId="3" borderId="4" xfId="2" applyNumberFormat="1" applyFont="1" applyFill="1" applyBorder="1" applyProtection="1">
      <protection hidden="1"/>
    </xf>
    <xf numFmtId="167" fontId="3" fillId="3" borderId="4" xfId="2" applyNumberFormat="1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 vertical="center"/>
      <protection hidden="1"/>
    </xf>
    <xf numFmtId="0" fontId="7" fillId="3" borderId="2" xfId="0" applyFont="1" applyFill="1" applyBorder="1" applyAlignment="1" applyProtection="1">
      <alignment horizontal="center" vertical="center"/>
      <protection hidden="1"/>
    </xf>
    <xf numFmtId="0" fontId="7" fillId="3" borderId="3" xfId="0" applyFont="1" applyFill="1" applyBorder="1" applyAlignment="1" applyProtection="1">
      <alignment horizontal="center" vertical="center"/>
      <protection hidden="1"/>
    </xf>
    <xf numFmtId="0" fontId="3" fillId="3" borderId="5" xfId="0" applyFont="1" applyFill="1" applyBorder="1" applyAlignment="1" applyProtection="1">
      <alignment horizontal="left" vertical="center" wrapText="1"/>
      <protection hidden="1"/>
    </xf>
    <xf numFmtId="0" fontId="3" fillId="3" borderId="6" xfId="0" applyFont="1" applyFill="1" applyBorder="1" applyAlignment="1" applyProtection="1">
      <alignment horizontal="left" vertical="center" wrapText="1"/>
      <protection hidden="1"/>
    </xf>
    <xf numFmtId="0" fontId="8" fillId="0" borderId="4" xfId="0" applyFont="1" applyFill="1" applyBorder="1" applyAlignment="1" applyProtection="1">
      <alignment horizontal="right" vertical="center" wrapText="1"/>
      <protection hidden="1"/>
    </xf>
    <xf numFmtId="0" fontId="2" fillId="0" borderId="4" xfId="0" applyFont="1" applyBorder="1" applyAlignment="1">
      <alignment horizontal="right" wrapText="1"/>
    </xf>
    <xf numFmtId="0" fontId="9" fillId="0" borderId="4" xfId="0" applyFont="1" applyFill="1" applyBorder="1" applyAlignment="1" applyProtection="1">
      <alignment horizontal="right" vertical="center" wrapText="1"/>
      <protection hidden="1"/>
    </xf>
  </cellXfs>
  <cellStyles count="4">
    <cellStyle name="Денежный" xfId="3" builtinId="4"/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colors>
    <mruColors>
      <color rgb="FFFFFFCC"/>
      <color rgb="FFFFCC00"/>
      <color rgb="FFFFFF99"/>
      <color rgb="FFF3F34B"/>
      <color rgb="FFF85208"/>
      <color rgb="FFE74D13"/>
      <color rgb="FFF97033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CC00"/>
  </sheetPr>
  <dimension ref="A1:O38"/>
  <sheetViews>
    <sheetView tabSelected="1" workbookViewId="0">
      <selection activeCell="B10" sqref="B10"/>
    </sheetView>
  </sheetViews>
  <sheetFormatPr baseColWidth="10" defaultColWidth="9.1640625" defaultRowHeight="14" x14ac:dyDescent="0.15"/>
  <cols>
    <col min="1" max="1" width="36.5" style="26" customWidth="1"/>
    <col min="2" max="2" width="29" style="36" bestFit="1" customWidth="1"/>
    <col min="3" max="3" width="20.5" style="26" customWidth="1"/>
    <col min="4" max="15" width="9.1640625" style="37"/>
    <col min="16" max="16384" width="9.1640625" style="26"/>
  </cols>
  <sheetData>
    <row r="1" spans="1:15" ht="85.25" customHeight="1" x14ac:dyDescent="0.15">
      <c r="A1" s="39"/>
      <c r="C1" s="39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x14ac:dyDescent="0.15">
      <c r="A2" s="113" t="s">
        <v>0</v>
      </c>
      <c r="B2" s="114"/>
      <c r="C2" s="115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8" x14ac:dyDescent="0.15">
      <c r="A3" s="32" t="s">
        <v>75</v>
      </c>
      <c r="B3" s="40">
        <v>50</v>
      </c>
      <c r="C3" s="28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x14ac:dyDescent="0.15">
      <c r="A4" s="33"/>
      <c r="B4" s="34"/>
      <c r="C4" s="28"/>
      <c r="D4" s="47"/>
      <c r="E4" s="109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x14ac:dyDescent="0.15">
      <c r="A5" s="32" t="s">
        <v>1</v>
      </c>
      <c r="B5" s="40">
        <v>1000</v>
      </c>
      <c r="C5" s="49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x14ac:dyDescent="0.15">
      <c r="A6" s="33"/>
      <c r="B6" s="34"/>
      <c r="C6" s="49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ht="15" customHeight="1" x14ac:dyDescent="0.15">
      <c r="A7" s="32" t="s">
        <v>3</v>
      </c>
      <c r="B7" s="40" t="s">
        <v>2</v>
      </c>
      <c r="C7" s="49"/>
      <c r="D7" s="37" t="s">
        <v>2</v>
      </c>
      <c r="E7" s="37" t="s">
        <v>4</v>
      </c>
      <c r="I7" s="47"/>
      <c r="J7" s="47"/>
      <c r="K7" s="47"/>
      <c r="L7" s="47"/>
      <c r="M7" s="47"/>
      <c r="N7" s="47"/>
      <c r="O7" s="47"/>
    </row>
    <row r="8" spans="1:15" x14ac:dyDescent="0.15">
      <c r="A8" s="32" t="s">
        <v>95</v>
      </c>
      <c r="B8" s="40" t="s">
        <v>100</v>
      </c>
      <c r="C8" s="49"/>
      <c r="D8" s="37" t="s">
        <v>100</v>
      </c>
      <c r="E8" s="37" t="s">
        <v>101</v>
      </c>
      <c r="I8" s="47"/>
      <c r="J8" s="47"/>
      <c r="K8" s="47"/>
      <c r="L8" s="47"/>
      <c r="M8" s="47"/>
      <c r="N8" s="47"/>
      <c r="O8" s="47"/>
    </row>
    <row r="9" spans="1:15" x14ac:dyDescent="0.15">
      <c r="A9" s="33"/>
      <c r="B9" s="73"/>
      <c r="C9" s="28"/>
      <c r="I9" s="47"/>
      <c r="J9" s="47"/>
      <c r="K9" s="47"/>
      <c r="L9" s="47"/>
      <c r="M9" s="47"/>
      <c r="N9" s="47"/>
      <c r="O9" s="47"/>
    </row>
    <row r="10" spans="1:15" x14ac:dyDescent="0.15">
      <c r="A10" s="32" t="s">
        <v>96</v>
      </c>
      <c r="B10" s="40">
        <v>600</v>
      </c>
      <c r="C10" s="28"/>
      <c r="D10" s="37">
        <v>400</v>
      </c>
      <c r="E10" s="37">
        <v>600</v>
      </c>
      <c r="F10" s="37">
        <v>800</v>
      </c>
      <c r="G10" s="37">
        <v>1000</v>
      </c>
      <c r="I10" s="47"/>
      <c r="J10" s="47"/>
      <c r="K10" s="47"/>
      <c r="L10" s="47"/>
      <c r="M10" s="47"/>
      <c r="N10" s="47"/>
      <c r="O10" s="47"/>
    </row>
    <row r="11" spans="1:15" x14ac:dyDescent="0.15">
      <c r="A11" s="32" t="s">
        <v>94</v>
      </c>
      <c r="B11" s="40" t="s">
        <v>99</v>
      </c>
      <c r="C11" s="28"/>
      <c r="D11" s="37" t="s">
        <v>97</v>
      </c>
      <c r="E11" s="37" t="s">
        <v>98</v>
      </c>
      <c r="F11" s="37" t="s">
        <v>99</v>
      </c>
      <c r="I11" s="47"/>
      <c r="J11" s="47"/>
      <c r="K11" s="47"/>
      <c r="L11" s="47"/>
      <c r="M11" s="47"/>
      <c r="N11" s="47"/>
      <c r="O11" s="47"/>
    </row>
    <row r="12" spans="1:15" x14ac:dyDescent="0.15">
      <c r="A12" s="28"/>
      <c r="B12" s="73"/>
      <c r="C12" s="28"/>
      <c r="I12" s="47"/>
      <c r="J12" s="47"/>
      <c r="K12" s="47"/>
      <c r="L12" s="47"/>
      <c r="M12" s="47"/>
      <c r="N12" s="47"/>
      <c r="O12" s="47"/>
    </row>
    <row r="13" spans="1:15" x14ac:dyDescent="0.15">
      <c r="A13" s="116" t="s">
        <v>5</v>
      </c>
      <c r="B13" s="41">
        <v>1</v>
      </c>
      <c r="C13" s="28" t="s">
        <v>6</v>
      </c>
      <c r="I13" s="47"/>
      <c r="J13" s="47"/>
      <c r="K13" s="47"/>
      <c r="L13" s="47"/>
      <c r="M13" s="47"/>
      <c r="N13" s="47"/>
      <c r="O13" s="47"/>
    </row>
    <row r="14" spans="1:15" x14ac:dyDescent="0.15">
      <c r="A14" s="117"/>
      <c r="B14" s="41">
        <f>100%-B13</f>
        <v>0</v>
      </c>
      <c r="C14" s="28" t="s">
        <v>7</v>
      </c>
      <c r="I14" s="47"/>
      <c r="J14" s="47"/>
      <c r="K14" s="47"/>
      <c r="L14" s="47"/>
      <c r="M14" s="47"/>
      <c r="N14" s="47"/>
      <c r="O14" s="47"/>
    </row>
    <row r="15" spans="1:15" x14ac:dyDescent="0.15">
      <c r="A15" s="28"/>
      <c r="B15" s="73"/>
      <c r="C15" s="28"/>
      <c r="I15" s="47"/>
      <c r="J15" s="47"/>
      <c r="K15" s="47"/>
      <c r="L15" s="47"/>
      <c r="M15" s="47"/>
      <c r="N15" s="47"/>
      <c r="O15" s="47"/>
    </row>
    <row r="16" spans="1:15" x14ac:dyDescent="0.15">
      <c r="A16" s="32" t="s">
        <v>123</v>
      </c>
      <c r="B16" s="40" t="s">
        <v>116</v>
      </c>
      <c r="C16" s="28"/>
      <c r="D16" s="37" t="s">
        <v>116</v>
      </c>
      <c r="E16" s="37" t="s">
        <v>117</v>
      </c>
      <c r="I16" s="47"/>
      <c r="J16" s="47"/>
      <c r="K16" s="47"/>
      <c r="L16" s="47"/>
      <c r="M16" s="47"/>
      <c r="N16" s="47"/>
      <c r="O16" s="47"/>
    </row>
    <row r="17" spans="4:15" x14ac:dyDescent="0.15">
      <c r="I17" s="47"/>
      <c r="J17" s="47"/>
      <c r="K17" s="47"/>
      <c r="L17" s="47"/>
      <c r="M17" s="47"/>
      <c r="N17" s="47"/>
      <c r="O17" s="47"/>
    </row>
    <row r="18" spans="4:15" x14ac:dyDescent="0.15">
      <c r="I18" s="47"/>
      <c r="J18" s="47"/>
      <c r="K18" s="47"/>
      <c r="L18" s="47"/>
      <c r="M18" s="47"/>
      <c r="N18" s="47"/>
      <c r="O18" s="47"/>
    </row>
    <row r="19" spans="4:15" x14ac:dyDescent="0.15"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4:15" x14ac:dyDescent="0.15"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4:15" x14ac:dyDescent="0.15"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</row>
    <row r="22" spans="4:15" x14ac:dyDescent="0.15"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4:15" x14ac:dyDescent="0.15"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  <row r="24" spans="4:15" x14ac:dyDescent="0.15"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4:15" x14ac:dyDescent="0.15"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4:15" x14ac:dyDescent="0.15"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spans="4:15" x14ac:dyDescent="0.15"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8" spans="4:15" x14ac:dyDescent="0.15"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29" spans="4:15" x14ac:dyDescent="0.15"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0" spans="4:15" x14ac:dyDescent="0.15"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</row>
    <row r="31" spans="4:15" x14ac:dyDescent="0.15"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  <row r="32" spans="4:15" x14ac:dyDescent="0.15"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</row>
    <row r="33" spans="4:15" x14ac:dyDescent="0.15"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4:15" x14ac:dyDescent="0.15"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4:15" x14ac:dyDescent="0.15"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</row>
    <row r="36" spans="4:15" x14ac:dyDescent="0.15"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</row>
    <row r="37" spans="4:15" x14ac:dyDescent="0.15"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</row>
    <row r="38" spans="4:15" x14ac:dyDescent="0.15"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</row>
  </sheetData>
  <mergeCells count="2">
    <mergeCell ref="A2:C2"/>
    <mergeCell ref="A13:A14"/>
  </mergeCells>
  <dataValidations count="5">
    <dataValidation type="list" allowBlank="1" showInputMessage="1" showErrorMessage="1" sqref="B10" xr:uid="{00000000-0002-0000-0000-000000000000}">
      <formula1>$D$10:$G$10</formula1>
    </dataValidation>
    <dataValidation type="list" allowBlank="1" showInputMessage="1" showErrorMessage="1" sqref="B8" xr:uid="{00000000-0002-0000-0000-000001000000}">
      <formula1>$D$8:$E$8</formula1>
    </dataValidation>
    <dataValidation type="list" allowBlank="1" showInputMessage="1" showErrorMessage="1" sqref="B11" xr:uid="{00000000-0002-0000-0000-000002000000}">
      <formula1>$D$11:$F$11</formula1>
    </dataValidation>
    <dataValidation type="list" allowBlank="1" showInputMessage="1" showErrorMessage="1" sqref="B7" xr:uid="{00000000-0002-0000-0000-000003000000}">
      <formula1>$D$7:$E$7</formula1>
    </dataValidation>
    <dataValidation type="list" allowBlank="1" showInputMessage="1" showErrorMessage="1" sqref="B16" xr:uid="{00000000-0002-0000-0000-000004000000}">
      <formula1>$D$16:$E$16</formula1>
    </dataValidation>
  </dataValidations>
  <pageMargins left="0.7" right="0.7" top="0.75" bottom="0.75" header="0.3" footer="0.3"/>
  <pageSetup paperSize="9" orientation="portrait" r:id="rId1"/>
  <ignoredErrors>
    <ignoredError sqref="B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tabColor theme="8" tint="0.79998168889431442"/>
  </sheetPr>
  <dimension ref="A1:H106"/>
  <sheetViews>
    <sheetView workbookViewId="0">
      <selection activeCell="A3" sqref="A3"/>
    </sheetView>
  </sheetViews>
  <sheetFormatPr baseColWidth="10" defaultColWidth="9.1640625" defaultRowHeight="14" x14ac:dyDescent="0.15"/>
  <cols>
    <col min="1" max="1" width="53.33203125" style="29" customWidth="1"/>
    <col min="2" max="2" width="11.33203125" style="56" bestFit="1" customWidth="1"/>
    <col min="3" max="3" width="13.5" style="56" bestFit="1" customWidth="1"/>
    <col min="4" max="4" width="13.5" style="56" customWidth="1"/>
    <col min="5" max="5" width="4.5" style="47" customWidth="1"/>
    <col min="6" max="6" width="88.83203125" style="47" bestFit="1" customWidth="1"/>
    <col min="7" max="8" width="9.1640625" style="47"/>
    <col min="9" max="16384" width="9.1640625" style="29"/>
  </cols>
  <sheetData>
    <row r="1" spans="1:6" ht="87.5" customHeight="1" x14ac:dyDescent="0.15"/>
    <row r="2" spans="1:6" x14ac:dyDescent="0.15">
      <c r="A2" s="43"/>
      <c r="B2" s="54" t="s">
        <v>8</v>
      </c>
      <c r="C2" s="54" t="s">
        <v>14</v>
      </c>
      <c r="D2" s="54" t="s">
        <v>15</v>
      </c>
    </row>
    <row r="3" spans="1:6" x14ac:dyDescent="0.15">
      <c r="A3" s="77" t="s">
        <v>86</v>
      </c>
      <c r="B3" s="78"/>
      <c r="C3" s="78"/>
      <c r="D3" s="79"/>
    </row>
    <row r="4" spans="1:6" x14ac:dyDescent="0.15">
      <c r="A4" s="43" t="s">
        <v>135</v>
      </c>
      <c r="B4" s="53"/>
      <c r="C4" s="53">
        <v>1</v>
      </c>
      <c r="D4" s="54">
        <v>70000</v>
      </c>
    </row>
    <row r="5" spans="1:6" x14ac:dyDescent="0.15">
      <c r="A5" s="43" t="s">
        <v>87</v>
      </c>
      <c r="B5" s="53">
        <v>80000</v>
      </c>
      <c r="C5" s="53">
        <f>IF('Ежемесячные финансы'!D4&gt;40000,2,1)</f>
        <v>1</v>
      </c>
      <c r="D5" s="54">
        <f>B5*C5</f>
        <v>80000</v>
      </c>
    </row>
    <row r="6" spans="1:6" x14ac:dyDescent="0.15">
      <c r="A6" s="43" t="s">
        <v>105</v>
      </c>
      <c r="B6" s="53"/>
      <c r="C6" s="53"/>
      <c r="D6" s="54">
        <f>'Подставь свои значения'!B3*'Подставь свои значения'!B5</f>
        <v>50000</v>
      </c>
    </row>
    <row r="7" spans="1:6" x14ac:dyDescent="0.15">
      <c r="A7" s="77" t="s">
        <v>88</v>
      </c>
      <c r="B7" s="78"/>
      <c r="C7" s="78"/>
      <c r="D7" s="79"/>
    </row>
    <row r="8" spans="1:6" x14ac:dyDescent="0.15">
      <c r="A8" s="43" t="s">
        <v>80</v>
      </c>
      <c r="B8" s="53"/>
      <c r="C8" s="53"/>
      <c r="D8" s="54">
        <v>700000</v>
      </c>
    </row>
    <row r="9" spans="1:6" x14ac:dyDescent="0.15">
      <c r="A9" s="43" t="s">
        <v>136</v>
      </c>
      <c r="B9" s="53"/>
      <c r="C9" s="53"/>
      <c r="D9" s="54">
        <f>3000+2000</f>
        <v>5000</v>
      </c>
    </row>
    <row r="10" spans="1:6" x14ac:dyDescent="0.15">
      <c r="A10" s="43" t="s">
        <v>79</v>
      </c>
      <c r="B10" s="53"/>
      <c r="C10" s="53"/>
      <c r="D10" s="54">
        <v>20000</v>
      </c>
    </row>
    <row r="11" spans="1:6" x14ac:dyDescent="0.15">
      <c r="A11" s="43" t="s">
        <v>77</v>
      </c>
      <c r="B11" s="53"/>
      <c r="C11" s="53"/>
      <c r="D11" s="54">
        <v>50000</v>
      </c>
    </row>
    <row r="12" spans="1:6" x14ac:dyDescent="0.15">
      <c r="A12" s="43" t="s">
        <v>84</v>
      </c>
      <c r="B12" s="53"/>
      <c r="C12" s="53"/>
      <c r="D12" s="54">
        <v>50000</v>
      </c>
    </row>
    <row r="13" spans="1:6" x14ac:dyDescent="0.15">
      <c r="A13" s="43" t="s">
        <v>137</v>
      </c>
      <c r="B13" s="53">
        <v>60000</v>
      </c>
      <c r="C13" s="53">
        <f>IF('Ежемесячные финансы'!D4&gt;50000,1,0)</f>
        <v>0</v>
      </c>
      <c r="D13" s="54">
        <f>B13*C13</f>
        <v>0</v>
      </c>
      <c r="F13" s="47" t="s">
        <v>113</v>
      </c>
    </row>
    <row r="14" spans="1:6" x14ac:dyDescent="0.15">
      <c r="A14" s="43" t="s">
        <v>91</v>
      </c>
      <c r="B14" s="53">
        <v>185000</v>
      </c>
      <c r="C14" s="53">
        <f>IF('Ежемесячные финансы'!D5&gt;60000,1,0)</f>
        <v>0</v>
      </c>
      <c r="D14" s="54">
        <v>0</v>
      </c>
      <c r="F14" s="47" t="s">
        <v>114</v>
      </c>
    </row>
    <row r="15" spans="1:6" x14ac:dyDescent="0.15">
      <c r="A15" s="43"/>
      <c r="B15" s="53"/>
      <c r="C15" s="53"/>
      <c r="D15" s="54"/>
    </row>
    <row r="16" spans="1:6" x14ac:dyDescent="0.15">
      <c r="A16" s="77" t="s">
        <v>89</v>
      </c>
      <c r="B16" s="78"/>
      <c r="C16" s="78"/>
      <c r="D16" s="79"/>
    </row>
    <row r="17" spans="1:4" x14ac:dyDescent="0.15">
      <c r="A17" s="43" t="s">
        <v>16</v>
      </c>
      <c r="B17" s="53">
        <v>3000</v>
      </c>
      <c r="C17" s="53">
        <f>'Подставь свои значения'!B3</f>
        <v>50</v>
      </c>
      <c r="D17" s="54">
        <f>B17*C17</f>
        <v>150000</v>
      </c>
    </row>
    <row r="18" spans="1:4" x14ac:dyDescent="0.15">
      <c r="A18" s="43" t="s">
        <v>82</v>
      </c>
      <c r="B18" s="53"/>
      <c r="C18" s="53"/>
      <c r="D18" s="54">
        <v>50000</v>
      </c>
    </row>
    <row r="19" spans="1:4" x14ac:dyDescent="0.15">
      <c r="A19" s="43" t="s">
        <v>83</v>
      </c>
      <c r="B19" s="53"/>
      <c r="C19" s="53"/>
      <c r="D19" s="54">
        <v>3000</v>
      </c>
    </row>
    <row r="20" spans="1:4" x14ac:dyDescent="0.15">
      <c r="A20" s="43"/>
      <c r="B20" s="53"/>
      <c r="C20" s="53"/>
      <c r="D20" s="54"/>
    </row>
    <row r="21" spans="1:4" x14ac:dyDescent="0.15">
      <c r="A21" s="77" t="s">
        <v>90</v>
      </c>
      <c r="B21" s="78"/>
      <c r="C21" s="78"/>
      <c r="D21" s="79"/>
    </row>
    <row r="22" spans="1:4" x14ac:dyDescent="0.15">
      <c r="A22" s="43" t="s">
        <v>17</v>
      </c>
      <c r="B22" s="53">
        <v>225000</v>
      </c>
      <c r="C22" s="53">
        <v>1</v>
      </c>
      <c r="D22" s="54">
        <f>B22*C22</f>
        <v>225000</v>
      </c>
    </row>
    <row r="23" spans="1:4" x14ac:dyDescent="0.15">
      <c r="A23" s="43" t="s">
        <v>81</v>
      </c>
      <c r="B23" s="53"/>
      <c r="C23" s="53"/>
      <c r="D23" s="54">
        <v>5000</v>
      </c>
    </row>
    <row r="24" spans="1:4" x14ac:dyDescent="0.15">
      <c r="A24" s="43" t="s">
        <v>85</v>
      </c>
      <c r="B24" s="53"/>
      <c r="C24" s="53"/>
      <c r="D24" s="54">
        <v>10000</v>
      </c>
    </row>
    <row r="25" spans="1:4" x14ac:dyDescent="0.15">
      <c r="A25" s="43" t="s">
        <v>78</v>
      </c>
      <c r="B25" s="53"/>
      <c r="C25" s="53"/>
      <c r="D25" s="54">
        <v>10000</v>
      </c>
    </row>
    <row r="26" spans="1:4" x14ac:dyDescent="0.15">
      <c r="A26" s="43" t="s">
        <v>139</v>
      </c>
      <c r="B26" s="53"/>
      <c r="C26" s="53"/>
      <c r="D26" s="54">
        <v>50000</v>
      </c>
    </row>
    <row r="27" spans="1:4" x14ac:dyDescent="0.15">
      <c r="A27" s="43"/>
      <c r="B27" s="53"/>
      <c r="C27" s="53"/>
      <c r="D27" s="53"/>
    </row>
    <row r="28" spans="1:4" ht="24" x14ac:dyDescent="0.15">
      <c r="A28" s="83" t="s">
        <v>76</v>
      </c>
      <c r="B28" s="84"/>
      <c r="C28" s="84"/>
      <c r="D28" s="84"/>
    </row>
    <row r="29" spans="1:4" x14ac:dyDescent="0.15">
      <c r="A29" s="75" t="s">
        <v>92</v>
      </c>
      <c r="B29" s="76">
        <v>25000</v>
      </c>
      <c r="C29" s="76">
        <f>IF('Подставь свои значения'!B8="В МКД",1,0)</f>
        <v>1</v>
      </c>
      <c r="D29" s="76">
        <f>B29*C29</f>
        <v>25000</v>
      </c>
    </row>
    <row r="30" spans="1:4" x14ac:dyDescent="0.15">
      <c r="A30" s="75" t="s">
        <v>93</v>
      </c>
      <c r="B30" s="76">
        <v>10000</v>
      </c>
      <c r="C30" s="76">
        <f>IF('Подставь свои значения'!B9="В МКД",1,0)</f>
        <v>0</v>
      </c>
      <c r="D30" s="76">
        <f>B30*C30</f>
        <v>0</v>
      </c>
    </row>
    <row r="31" spans="1:4" x14ac:dyDescent="0.15">
      <c r="A31" s="43"/>
      <c r="B31" s="53"/>
      <c r="C31" s="53"/>
      <c r="D31" s="53"/>
    </row>
    <row r="32" spans="1:4" ht="18" x14ac:dyDescent="0.2">
      <c r="A32" s="80" t="s">
        <v>18</v>
      </c>
      <c r="B32" s="81"/>
      <c r="C32" s="81"/>
      <c r="D32" s="82">
        <f>SUM(D4:D31)</f>
        <v>1553000</v>
      </c>
    </row>
    <row r="33" spans="1:8" s="26" customFormat="1" x14ac:dyDescent="0.15">
      <c r="A33" s="47"/>
      <c r="B33" s="66"/>
      <c r="C33" s="66"/>
      <c r="D33" s="66"/>
      <c r="E33" s="47"/>
      <c r="F33" s="47"/>
      <c r="G33" s="47"/>
      <c r="H33" s="47"/>
    </row>
    <row r="34" spans="1:8" s="26" customFormat="1" x14ac:dyDescent="0.15">
      <c r="A34" s="47"/>
      <c r="B34" s="66"/>
      <c r="C34" s="66"/>
      <c r="D34" s="66"/>
      <c r="E34" s="47"/>
      <c r="F34" s="47"/>
      <c r="G34" s="47"/>
      <c r="H34" s="47"/>
    </row>
    <row r="35" spans="1:8" s="26" customFormat="1" x14ac:dyDescent="0.15">
      <c r="A35" s="47"/>
      <c r="B35" s="66"/>
      <c r="C35" s="66"/>
      <c r="D35" s="66"/>
      <c r="E35" s="47"/>
      <c r="F35" s="47"/>
      <c r="G35" s="47"/>
      <c r="H35" s="47"/>
    </row>
    <row r="36" spans="1:8" s="26" customFormat="1" x14ac:dyDescent="0.15">
      <c r="B36" s="55"/>
      <c r="C36" s="55"/>
      <c r="D36" s="55"/>
      <c r="E36" s="47"/>
      <c r="F36" s="47"/>
      <c r="G36" s="47"/>
      <c r="H36" s="47"/>
    </row>
    <row r="37" spans="1:8" s="26" customFormat="1" x14ac:dyDescent="0.15">
      <c r="B37" s="55"/>
      <c r="C37" s="55"/>
      <c r="D37" s="55"/>
      <c r="E37" s="47"/>
      <c r="F37" s="47"/>
      <c r="G37" s="47"/>
      <c r="H37" s="47"/>
    </row>
    <row r="38" spans="1:8" s="26" customFormat="1" x14ac:dyDescent="0.15">
      <c r="B38" s="55"/>
      <c r="C38" s="55"/>
      <c r="D38" s="55"/>
      <c r="E38" s="47"/>
      <c r="F38" s="47"/>
      <c r="G38" s="47"/>
      <c r="H38" s="47"/>
    </row>
    <row r="39" spans="1:8" s="26" customFormat="1" x14ac:dyDescent="0.15">
      <c r="B39" s="55"/>
      <c r="C39" s="55"/>
      <c r="D39" s="55"/>
      <c r="E39" s="47"/>
      <c r="F39" s="47"/>
      <c r="G39" s="47"/>
      <c r="H39" s="47"/>
    </row>
    <row r="40" spans="1:8" s="26" customFormat="1" x14ac:dyDescent="0.15">
      <c r="B40" s="55"/>
      <c r="C40" s="55"/>
      <c r="D40" s="55"/>
      <c r="E40" s="47"/>
      <c r="F40" s="47"/>
      <c r="G40" s="47"/>
      <c r="H40" s="47"/>
    </row>
    <row r="41" spans="1:8" s="26" customFormat="1" x14ac:dyDescent="0.15">
      <c r="B41" s="55"/>
      <c r="C41" s="55"/>
      <c r="D41" s="55"/>
      <c r="E41" s="47"/>
      <c r="F41" s="47"/>
      <c r="G41" s="47"/>
      <c r="H41" s="47"/>
    </row>
    <row r="42" spans="1:8" s="26" customFormat="1" x14ac:dyDescent="0.15">
      <c r="B42" s="55"/>
      <c r="C42" s="55"/>
      <c r="D42" s="55"/>
      <c r="E42" s="47"/>
      <c r="F42" s="47"/>
      <c r="G42" s="47"/>
      <c r="H42" s="47"/>
    </row>
    <row r="43" spans="1:8" s="26" customFormat="1" x14ac:dyDescent="0.15">
      <c r="B43" s="55"/>
      <c r="C43" s="55"/>
      <c r="D43" s="55"/>
      <c r="E43" s="47"/>
      <c r="F43" s="47"/>
      <c r="G43" s="47"/>
      <c r="H43" s="47"/>
    </row>
    <row r="44" spans="1:8" s="26" customFormat="1" x14ac:dyDescent="0.15">
      <c r="B44" s="55"/>
      <c r="C44" s="55"/>
      <c r="D44" s="55"/>
      <c r="E44" s="47"/>
      <c r="F44" s="47"/>
      <c r="G44" s="47"/>
      <c r="H44" s="47"/>
    </row>
    <row r="45" spans="1:8" s="26" customFormat="1" x14ac:dyDescent="0.15">
      <c r="B45" s="55"/>
      <c r="C45" s="55"/>
      <c r="D45" s="55"/>
      <c r="E45" s="47"/>
      <c r="F45" s="47"/>
      <c r="G45" s="47"/>
      <c r="H45" s="47"/>
    </row>
    <row r="46" spans="1:8" s="26" customFormat="1" x14ac:dyDescent="0.15">
      <c r="B46" s="55"/>
      <c r="C46" s="55"/>
      <c r="D46" s="55"/>
      <c r="E46" s="47"/>
      <c r="F46" s="47"/>
      <c r="G46" s="47"/>
      <c r="H46" s="47"/>
    </row>
    <row r="47" spans="1:8" s="26" customFormat="1" x14ac:dyDescent="0.15">
      <c r="B47" s="55"/>
      <c r="C47" s="55"/>
      <c r="D47" s="55"/>
      <c r="E47" s="47"/>
      <c r="F47" s="47"/>
      <c r="G47" s="47"/>
      <c r="H47" s="47"/>
    </row>
    <row r="48" spans="1:8" s="26" customFormat="1" x14ac:dyDescent="0.15">
      <c r="B48" s="55"/>
      <c r="C48" s="55"/>
      <c r="D48" s="55"/>
      <c r="E48" s="47"/>
      <c r="F48" s="47"/>
      <c r="G48" s="47"/>
      <c r="H48" s="47"/>
    </row>
    <row r="49" spans="2:8" s="26" customFormat="1" x14ac:dyDescent="0.15">
      <c r="B49" s="55"/>
      <c r="C49" s="55"/>
      <c r="D49" s="55"/>
      <c r="E49" s="47"/>
      <c r="F49" s="47"/>
      <c r="G49" s="47"/>
      <c r="H49" s="47"/>
    </row>
    <row r="50" spans="2:8" s="26" customFormat="1" x14ac:dyDescent="0.15">
      <c r="B50" s="55"/>
      <c r="C50" s="55"/>
      <c r="D50" s="55"/>
      <c r="E50" s="47"/>
      <c r="F50" s="47"/>
      <c r="G50" s="47"/>
      <c r="H50" s="47"/>
    </row>
    <row r="51" spans="2:8" s="26" customFormat="1" x14ac:dyDescent="0.15">
      <c r="B51" s="55"/>
      <c r="C51" s="55"/>
      <c r="D51" s="55"/>
      <c r="E51" s="47"/>
      <c r="F51" s="47"/>
      <c r="G51" s="47"/>
      <c r="H51" s="47"/>
    </row>
    <row r="52" spans="2:8" s="26" customFormat="1" x14ac:dyDescent="0.15">
      <c r="B52" s="55"/>
      <c r="C52" s="55"/>
      <c r="D52" s="55"/>
      <c r="E52" s="47"/>
      <c r="F52" s="47"/>
      <c r="G52" s="47"/>
      <c r="H52" s="47"/>
    </row>
    <row r="53" spans="2:8" s="26" customFormat="1" x14ac:dyDescent="0.15">
      <c r="B53" s="55"/>
      <c r="C53" s="55"/>
      <c r="D53" s="55"/>
      <c r="E53" s="47"/>
      <c r="F53" s="47"/>
      <c r="G53" s="47"/>
      <c r="H53" s="47"/>
    </row>
    <row r="54" spans="2:8" s="26" customFormat="1" x14ac:dyDescent="0.15">
      <c r="B54" s="55"/>
      <c r="C54" s="55"/>
      <c r="D54" s="55"/>
      <c r="E54" s="47"/>
      <c r="F54" s="47"/>
      <c r="G54" s="47"/>
      <c r="H54" s="47"/>
    </row>
    <row r="55" spans="2:8" s="26" customFormat="1" x14ac:dyDescent="0.15">
      <c r="B55" s="55"/>
      <c r="C55" s="55"/>
      <c r="D55" s="55"/>
      <c r="E55" s="47"/>
      <c r="F55" s="47"/>
      <c r="G55" s="47"/>
      <c r="H55" s="47"/>
    </row>
    <row r="56" spans="2:8" s="26" customFormat="1" x14ac:dyDescent="0.15">
      <c r="B56" s="55"/>
      <c r="C56" s="55"/>
      <c r="D56" s="55"/>
      <c r="E56" s="47"/>
      <c r="F56" s="47"/>
      <c r="G56" s="47"/>
      <c r="H56" s="47"/>
    </row>
    <row r="57" spans="2:8" s="26" customFormat="1" x14ac:dyDescent="0.15">
      <c r="B57" s="55"/>
      <c r="C57" s="55"/>
      <c r="D57" s="55"/>
      <c r="E57" s="47"/>
      <c r="F57" s="47"/>
      <c r="G57" s="47"/>
      <c r="H57" s="47"/>
    </row>
    <row r="58" spans="2:8" s="26" customFormat="1" x14ac:dyDescent="0.15">
      <c r="B58" s="55"/>
      <c r="C58" s="55"/>
      <c r="D58" s="55"/>
      <c r="E58" s="47"/>
      <c r="F58" s="47"/>
      <c r="G58" s="47"/>
      <c r="H58" s="47"/>
    </row>
    <row r="59" spans="2:8" s="26" customFormat="1" x14ac:dyDescent="0.15">
      <c r="B59" s="55"/>
      <c r="C59" s="55"/>
      <c r="D59" s="55"/>
      <c r="E59" s="47"/>
      <c r="F59" s="47"/>
      <c r="G59" s="47"/>
      <c r="H59" s="47"/>
    </row>
    <row r="60" spans="2:8" s="26" customFormat="1" x14ac:dyDescent="0.15">
      <c r="B60" s="55"/>
      <c r="C60" s="55"/>
      <c r="D60" s="55"/>
      <c r="E60" s="47"/>
      <c r="F60" s="47"/>
      <c r="G60" s="47"/>
      <c r="H60" s="47"/>
    </row>
    <row r="61" spans="2:8" s="26" customFormat="1" x14ac:dyDescent="0.15">
      <c r="B61" s="55"/>
      <c r="C61" s="55"/>
      <c r="D61" s="55"/>
      <c r="E61" s="47"/>
      <c r="F61" s="47"/>
      <c r="G61" s="47"/>
      <c r="H61" s="47"/>
    </row>
    <row r="62" spans="2:8" s="26" customFormat="1" x14ac:dyDescent="0.15">
      <c r="B62" s="55"/>
      <c r="C62" s="55"/>
      <c r="D62" s="55"/>
      <c r="E62" s="47"/>
      <c r="F62" s="47"/>
      <c r="G62" s="47"/>
      <c r="H62" s="47"/>
    </row>
    <row r="63" spans="2:8" s="26" customFormat="1" x14ac:dyDescent="0.15">
      <c r="B63" s="55"/>
      <c r="C63" s="55"/>
      <c r="D63" s="55"/>
      <c r="E63" s="47"/>
      <c r="F63" s="47"/>
      <c r="G63" s="47"/>
      <c r="H63" s="47"/>
    </row>
    <row r="64" spans="2:8" s="26" customFormat="1" x14ac:dyDescent="0.15">
      <c r="B64" s="55"/>
      <c r="C64" s="55"/>
      <c r="D64" s="55"/>
      <c r="E64" s="47"/>
      <c r="F64" s="47"/>
      <c r="G64" s="47"/>
      <c r="H64" s="47"/>
    </row>
    <row r="65" spans="2:8" s="26" customFormat="1" x14ac:dyDescent="0.15">
      <c r="B65" s="55"/>
      <c r="C65" s="55"/>
      <c r="D65" s="55"/>
      <c r="E65" s="47"/>
      <c r="F65" s="47"/>
      <c r="G65" s="47"/>
      <c r="H65" s="47"/>
    </row>
    <row r="66" spans="2:8" s="26" customFormat="1" x14ac:dyDescent="0.15">
      <c r="B66" s="55"/>
      <c r="C66" s="55"/>
      <c r="D66" s="55"/>
      <c r="E66" s="47"/>
      <c r="F66" s="47"/>
      <c r="G66" s="47"/>
      <c r="H66" s="47"/>
    </row>
    <row r="67" spans="2:8" s="26" customFormat="1" x14ac:dyDescent="0.15">
      <c r="B67" s="55"/>
      <c r="C67" s="55"/>
      <c r="D67" s="55"/>
      <c r="E67" s="47"/>
      <c r="F67" s="47"/>
      <c r="G67" s="47"/>
      <c r="H67" s="47"/>
    </row>
    <row r="68" spans="2:8" s="26" customFormat="1" x14ac:dyDescent="0.15">
      <c r="B68" s="55"/>
      <c r="C68" s="55"/>
      <c r="D68" s="55"/>
      <c r="E68" s="47"/>
      <c r="F68" s="47"/>
      <c r="G68" s="47"/>
      <c r="H68" s="47"/>
    </row>
    <row r="69" spans="2:8" s="26" customFormat="1" x14ac:dyDescent="0.15">
      <c r="B69" s="55"/>
      <c r="C69" s="55"/>
      <c r="D69" s="55"/>
      <c r="E69" s="47"/>
      <c r="F69" s="47"/>
      <c r="G69" s="47"/>
      <c r="H69" s="47"/>
    </row>
    <row r="70" spans="2:8" s="26" customFormat="1" x14ac:dyDescent="0.15">
      <c r="B70" s="55"/>
      <c r="C70" s="55"/>
      <c r="D70" s="55"/>
      <c r="E70" s="47"/>
      <c r="F70" s="47"/>
      <c r="G70" s="47"/>
      <c r="H70" s="47"/>
    </row>
    <row r="71" spans="2:8" s="26" customFormat="1" x14ac:dyDescent="0.15">
      <c r="B71" s="55"/>
      <c r="C71" s="55"/>
      <c r="D71" s="55"/>
      <c r="E71" s="47"/>
      <c r="F71" s="47"/>
      <c r="G71" s="47"/>
      <c r="H71" s="47"/>
    </row>
    <row r="72" spans="2:8" s="26" customFormat="1" x14ac:dyDescent="0.15">
      <c r="B72" s="55"/>
      <c r="C72" s="55"/>
      <c r="D72" s="55"/>
      <c r="E72" s="47"/>
      <c r="F72" s="47"/>
      <c r="G72" s="47"/>
      <c r="H72" s="47"/>
    </row>
    <row r="73" spans="2:8" s="26" customFormat="1" x14ac:dyDescent="0.15">
      <c r="B73" s="55"/>
      <c r="C73" s="55"/>
      <c r="D73" s="55"/>
      <c r="E73" s="47"/>
      <c r="F73" s="47"/>
      <c r="G73" s="47"/>
      <c r="H73" s="47"/>
    </row>
    <row r="74" spans="2:8" s="26" customFormat="1" x14ac:dyDescent="0.15">
      <c r="B74" s="55"/>
      <c r="C74" s="55"/>
      <c r="D74" s="55"/>
      <c r="E74" s="47"/>
      <c r="F74" s="47"/>
      <c r="G74" s="47"/>
      <c r="H74" s="47"/>
    </row>
    <row r="75" spans="2:8" s="26" customFormat="1" x14ac:dyDescent="0.15">
      <c r="B75" s="55"/>
      <c r="C75" s="55"/>
      <c r="D75" s="55"/>
      <c r="E75" s="47"/>
      <c r="F75" s="47"/>
      <c r="G75" s="47"/>
      <c r="H75" s="47"/>
    </row>
    <row r="76" spans="2:8" s="26" customFormat="1" x14ac:dyDescent="0.15">
      <c r="B76" s="55"/>
      <c r="C76" s="55"/>
      <c r="D76" s="55"/>
      <c r="E76" s="47"/>
      <c r="F76" s="47"/>
      <c r="G76" s="47"/>
      <c r="H76" s="47"/>
    </row>
    <row r="77" spans="2:8" s="26" customFormat="1" x14ac:dyDescent="0.15">
      <c r="B77" s="55"/>
      <c r="C77" s="55"/>
      <c r="D77" s="55"/>
      <c r="E77" s="47"/>
      <c r="F77" s="47"/>
      <c r="G77" s="47"/>
      <c r="H77" s="47"/>
    </row>
    <row r="78" spans="2:8" s="26" customFormat="1" x14ac:dyDescent="0.15">
      <c r="B78" s="55"/>
      <c r="C78" s="55"/>
      <c r="D78" s="55"/>
      <c r="E78" s="47"/>
      <c r="F78" s="47"/>
      <c r="G78" s="47"/>
      <c r="H78" s="47"/>
    </row>
    <row r="79" spans="2:8" s="26" customFormat="1" x14ac:dyDescent="0.15">
      <c r="B79" s="55"/>
      <c r="C79" s="55"/>
      <c r="D79" s="55"/>
      <c r="E79" s="47"/>
      <c r="F79" s="47"/>
      <c r="G79" s="47"/>
      <c r="H79" s="47"/>
    </row>
    <row r="80" spans="2:8" s="26" customFormat="1" x14ac:dyDescent="0.15">
      <c r="B80" s="55"/>
      <c r="C80" s="55"/>
      <c r="D80" s="55"/>
      <c r="E80" s="47"/>
      <c r="F80" s="47"/>
      <c r="G80" s="47"/>
      <c r="H80" s="47"/>
    </row>
    <row r="81" spans="2:8" s="26" customFormat="1" x14ac:dyDescent="0.15">
      <c r="B81" s="55"/>
      <c r="C81" s="55"/>
      <c r="D81" s="55"/>
      <c r="E81" s="47"/>
      <c r="F81" s="47"/>
      <c r="G81" s="47"/>
      <c r="H81" s="47"/>
    </row>
    <row r="82" spans="2:8" s="26" customFormat="1" x14ac:dyDescent="0.15">
      <c r="B82" s="55"/>
      <c r="C82" s="55"/>
      <c r="D82" s="55"/>
      <c r="E82" s="47"/>
      <c r="F82" s="47"/>
      <c r="G82" s="47"/>
      <c r="H82" s="47"/>
    </row>
    <row r="83" spans="2:8" s="26" customFormat="1" x14ac:dyDescent="0.15">
      <c r="B83" s="55"/>
      <c r="C83" s="55"/>
      <c r="D83" s="55"/>
      <c r="E83" s="47"/>
      <c r="F83" s="47"/>
      <c r="G83" s="47"/>
      <c r="H83" s="47"/>
    </row>
    <row r="84" spans="2:8" s="26" customFormat="1" x14ac:dyDescent="0.15">
      <c r="B84" s="55"/>
      <c r="C84" s="55"/>
      <c r="D84" s="55"/>
      <c r="E84" s="47"/>
      <c r="F84" s="47"/>
      <c r="G84" s="47"/>
      <c r="H84" s="47"/>
    </row>
    <row r="85" spans="2:8" s="26" customFormat="1" x14ac:dyDescent="0.15">
      <c r="B85" s="55"/>
      <c r="C85" s="55"/>
      <c r="D85" s="55"/>
      <c r="E85" s="47"/>
      <c r="F85" s="47"/>
      <c r="G85" s="47"/>
      <c r="H85" s="47"/>
    </row>
    <row r="86" spans="2:8" s="26" customFormat="1" x14ac:dyDescent="0.15">
      <c r="B86" s="55"/>
      <c r="C86" s="55"/>
      <c r="D86" s="55"/>
      <c r="E86" s="47"/>
      <c r="F86" s="47"/>
      <c r="G86" s="47"/>
      <c r="H86" s="47"/>
    </row>
    <row r="87" spans="2:8" s="26" customFormat="1" x14ac:dyDescent="0.15">
      <c r="B87" s="55"/>
      <c r="C87" s="55"/>
      <c r="D87" s="55"/>
      <c r="E87" s="47"/>
      <c r="F87" s="47"/>
      <c r="G87" s="47"/>
      <c r="H87" s="47"/>
    </row>
    <row r="88" spans="2:8" s="26" customFormat="1" x14ac:dyDescent="0.15">
      <c r="B88" s="55"/>
      <c r="C88" s="55"/>
      <c r="D88" s="55"/>
      <c r="E88" s="47"/>
      <c r="F88" s="47"/>
      <c r="G88" s="47"/>
      <c r="H88" s="47"/>
    </row>
    <row r="89" spans="2:8" s="26" customFormat="1" x14ac:dyDescent="0.15">
      <c r="B89" s="55"/>
      <c r="C89" s="55"/>
      <c r="D89" s="55"/>
      <c r="E89" s="47"/>
      <c r="F89" s="47"/>
      <c r="G89" s="47"/>
      <c r="H89" s="47"/>
    </row>
    <row r="90" spans="2:8" s="26" customFormat="1" x14ac:dyDescent="0.15">
      <c r="B90" s="55"/>
      <c r="C90" s="55"/>
      <c r="D90" s="55"/>
      <c r="E90" s="47"/>
      <c r="F90" s="47"/>
      <c r="G90" s="47"/>
      <c r="H90" s="47"/>
    </row>
    <row r="91" spans="2:8" s="26" customFormat="1" x14ac:dyDescent="0.15">
      <c r="B91" s="55"/>
      <c r="C91" s="55"/>
      <c r="D91" s="55"/>
      <c r="E91" s="47"/>
      <c r="F91" s="47"/>
      <c r="G91" s="47"/>
      <c r="H91" s="47"/>
    </row>
    <row r="92" spans="2:8" s="26" customFormat="1" x14ac:dyDescent="0.15">
      <c r="B92" s="55"/>
      <c r="C92" s="55"/>
      <c r="D92" s="55"/>
      <c r="E92" s="47"/>
      <c r="F92" s="47"/>
      <c r="G92" s="47"/>
      <c r="H92" s="47"/>
    </row>
    <row r="93" spans="2:8" s="26" customFormat="1" x14ac:dyDescent="0.15">
      <c r="B93" s="55"/>
      <c r="C93" s="55"/>
      <c r="D93" s="55"/>
      <c r="E93" s="47"/>
      <c r="F93" s="47"/>
      <c r="G93" s="47"/>
      <c r="H93" s="47"/>
    </row>
    <row r="94" spans="2:8" s="26" customFormat="1" x14ac:dyDescent="0.15">
      <c r="B94" s="55"/>
      <c r="C94" s="55"/>
      <c r="D94" s="55"/>
      <c r="E94" s="47"/>
      <c r="F94" s="47"/>
      <c r="G94" s="47"/>
      <c r="H94" s="47"/>
    </row>
    <row r="95" spans="2:8" s="26" customFormat="1" x14ac:dyDescent="0.15">
      <c r="B95" s="55"/>
      <c r="C95" s="55"/>
      <c r="D95" s="55"/>
      <c r="E95" s="47"/>
      <c r="F95" s="47"/>
      <c r="G95" s="47"/>
      <c r="H95" s="47"/>
    </row>
    <row r="96" spans="2:8" s="26" customFormat="1" x14ac:dyDescent="0.15">
      <c r="B96" s="55"/>
      <c r="C96" s="55"/>
      <c r="D96" s="55"/>
      <c r="E96" s="47"/>
      <c r="F96" s="47"/>
      <c r="G96" s="47"/>
      <c r="H96" s="47"/>
    </row>
    <row r="97" spans="2:8" s="26" customFormat="1" x14ac:dyDescent="0.15">
      <c r="B97" s="55"/>
      <c r="C97" s="55"/>
      <c r="D97" s="55"/>
      <c r="E97" s="47"/>
      <c r="F97" s="47"/>
      <c r="G97" s="47"/>
      <c r="H97" s="47"/>
    </row>
    <row r="98" spans="2:8" s="26" customFormat="1" x14ac:dyDescent="0.15">
      <c r="B98" s="55"/>
      <c r="C98" s="55"/>
      <c r="D98" s="55"/>
      <c r="E98" s="47"/>
      <c r="F98" s="47"/>
      <c r="G98" s="47"/>
      <c r="H98" s="47"/>
    </row>
    <row r="99" spans="2:8" s="26" customFormat="1" x14ac:dyDescent="0.15">
      <c r="B99" s="55"/>
      <c r="C99" s="55"/>
      <c r="D99" s="55"/>
      <c r="E99" s="47"/>
      <c r="F99" s="47"/>
      <c r="G99" s="47"/>
      <c r="H99" s="47"/>
    </row>
    <row r="100" spans="2:8" s="26" customFormat="1" x14ac:dyDescent="0.15">
      <c r="B100" s="55"/>
      <c r="C100" s="55"/>
      <c r="D100" s="55"/>
      <c r="E100" s="47"/>
      <c r="F100" s="47"/>
      <c r="G100" s="47"/>
      <c r="H100" s="47"/>
    </row>
    <row r="101" spans="2:8" s="26" customFormat="1" x14ac:dyDescent="0.15">
      <c r="B101" s="55"/>
      <c r="C101" s="55"/>
      <c r="D101" s="55"/>
      <c r="E101" s="47"/>
      <c r="F101" s="47"/>
      <c r="G101" s="47"/>
      <c r="H101" s="47"/>
    </row>
    <row r="102" spans="2:8" s="26" customFormat="1" x14ac:dyDescent="0.15">
      <c r="B102" s="55"/>
      <c r="C102" s="55"/>
      <c r="D102" s="55"/>
      <c r="E102" s="47"/>
      <c r="F102" s="47"/>
      <c r="G102" s="47"/>
      <c r="H102" s="47"/>
    </row>
    <row r="103" spans="2:8" s="26" customFormat="1" x14ac:dyDescent="0.15">
      <c r="B103" s="55"/>
      <c r="C103" s="55"/>
      <c r="D103" s="55"/>
      <c r="E103" s="47"/>
      <c r="F103" s="47"/>
      <c r="G103" s="47"/>
      <c r="H103" s="47"/>
    </row>
    <row r="104" spans="2:8" s="26" customFormat="1" x14ac:dyDescent="0.15">
      <c r="B104" s="55"/>
      <c r="C104" s="55"/>
      <c r="D104" s="55"/>
      <c r="E104" s="47"/>
      <c r="F104" s="47"/>
      <c r="G104" s="47"/>
      <c r="H104" s="47"/>
    </row>
    <row r="105" spans="2:8" s="26" customFormat="1" x14ac:dyDescent="0.15">
      <c r="B105" s="55"/>
      <c r="C105" s="55"/>
      <c r="D105" s="55"/>
      <c r="E105" s="47"/>
      <c r="F105" s="47"/>
      <c r="G105" s="47"/>
      <c r="H105" s="47"/>
    </row>
    <row r="106" spans="2:8" s="26" customFormat="1" x14ac:dyDescent="0.15">
      <c r="B106" s="55"/>
      <c r="C106" s="55"/>
      <c r="D106" s="55"/>
      <c r="E106" s="47"/>
      <c r="F106" s="47"/>
      <c r="G106" s="47"/>
      <c r="H106" s="47"/>
    </row>
  </sheetData>
  <protectedRanges>
    <protectedRange password="C2BA" sqref="A4:A7 A18:A21 A23:A26 A10:A16" name="Косм ремонт_1"/>
  </protectedRange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">
    <tabColor theme="6" tint="0.79998168889431442"/>
  </sheetPr>
  <dimension ref="A1:O123"/>
  <sheetViews>
    <sheetView workbookViewId="0">
      <selection activeCell="D29" sqref="D29"/>
    </sheetView>
  </sheetViews>
  <sheetFormatPr baseColWidth="10" defaultColWidth="9.1640625" defaultRowHeight="14" x14ac:dyDescent="0.15"/>
  <cols>
    <col min="1" max="1" width="30.5" style="50" customWidth="1"/>
    <col min="2" max="3" width="19.5" style="51" customWidth="1"/>
    <col min="4" max="4" width="20.33203125" style="51" customWidth="1"/>
    <col min="5" max="15" width="9.1640625" style="47"/>
    <col min="16" max="16384" width="9.1640625" style="50"/>
  </cols>
  <sheetData>
    <row r="1" spans="1:15" ht="82.25" customHeight="1" x14ac:dyDescent="0.15">
      <c r="A1" s="47"/>
      <c r="B1" s="48"/>
      <c r="C1" s="48"/>
      <c r="D1" s="48"/>
      <c r="I1" s="37"/>
      <c r="J1" s="37"/>
      <c r="K1" s="37"/>
      <c r="L1" s="37"/>
      <c r="M1" s="37"/>
      <c r="N1" s="37"/>
      <c r="O1" s="37"/>
    </row>
    <row r="2" spans="1:15" x14ac:dyDescent="0.15">
      <c r="A2" s="45"/>
      <c r="B2" s="54" t="s">
        <v>8</v>
      </c>
      <c r="C2" s="54" t="s">
        <v>19</v>
      </c>
      <c r="D2" s="54" t="s">
        <v>20</v>
      </c>
      <c r="I2" s="37"/>
      <c r="J2" s="37"/>
      <c r="K2" s="37"/>
      <c r="L2" s="37"/>
      <c r="M2" s="37"/>
      <c r="N2" s="37"/>
      <c r="O2" s="37"/>
    </row>
    <row r="3" spans="1:15" x14ac:dyDescent="0.15">
      <c r="A3" s="59" t="s">
        <v>102</v>
      </c>
      <c r="B3" s="52"/>
      <c r="C3" s="52"/>
      <c r="D3" s="52">
        <f>D4*23+D5*8</f>
        <v>936936.00000000012</v>
      </c>
      <c r="I3" s="37"/>
      <c r="J3" s="37" t="s">
        <v>97</v>
      </c>
      <c r="K3" s="38">
        <v>0.09</v>
      </c>
      <c r="L3" s="37">
        <v>80</v>
      </c>
      <c r="M3" s="37"/>
      <c r="N3" s="37"/>
      <c r="O3" s="37"/>
    </row>
    <row r="4" spans="1:15" x14ac:dyDescent="0.15">
      <c r="A4" s="43" t="s">
        <v>103</v>
      </c>
      <c r="B4" s="53"/>
      <c r="C4" s="53"/>
      <c r="D4" s="53">
        <f>IF('Подставь свои значения'!B11="Спальник",'Подставь свои значения'!B10*K3*L3*12,IF('Подставь свои значения'!B11="Транзит",'Подставь свои значения'!B10*K4*L4*12,IF('Подставь свои значения'!B11="Смешенный",'Подставь свои значения'!B10*K5*L5*12,"ОШИБКА")))</f>
        <v>32760.000000000007</v>
      </c>
      <c r="I4" s="37"/>
      <c r="J4" s="37" t="s">
        <v>98</v>
      </c>
      <c r="K4" s="38">
        <v>0.06</v>
      </c>
      <c r="L4" s="37">
        <v>50</v>
      </c>
      <c r="M4" s="37"/>
      <c r="N4" s="37"/>
      <c r="O4" s="37"/>
    </row>
    <row r="5" spans="1:15" x14ac:dyDescent="0.15">
      <c r="A5" s="43" t="s">
        <v>104</v>
      </c>
      <c r="B5" s="53"/>
      <c r="C5" s="53"/>
      <c r="D5" s="53">
        <f>D4*0.7</f>
        <v>22932.000000000004</v>
      </c>
      <c r="I5" s="37"/>
      <c r="J5" s="37" t="s">
        <v>99</v>
      </c>
      <c r="K5" s="38">
        <v>7.0000000000000007E-2</v>
      </c>
      <c r="L5" s="37">
        <v>65</v>
      </c>
      <c r="M5" s="37"/>
      <c r="N5" s="37"/>
      <c r="O5" s="37"/>
    </row>
    <row r="6" spans="1:15" x14ac:dyDescent="0.15">
      <c r="A6" s="43"/>
      <c r="B6" s="53"/>
      <c r="C6" s="53"/>
      <c r="D6" s="53"/>
      <c r="I6" s="37"/>
      <c r="J6" s="37"/>
      <c r="K6" s="37"/>
      <c r="L6" s="37"/>
      <c r="M6" s="37"/>
      <c r="N6" s="37"/>
      <c r="O6" s="37"/>
    </row>
    <row r="7" spans="1:15" x14ac:dyDescent="0.15">
      <c r="A7" s="59" t="s">
        <v>21</v>
      </c>
      <c r="B7" s="52"/>
      <c r="C7" s="52"/>
      <c r="D7" s="52">
        <f>D8+D14</f>
        <v>602528.88000000012</v>
      </c>
      <c r="I7" s="37"/>
      <c r="J7" s="37"/>
      <c r="K7" s="37"/>
      <c r="L7" s="37"/>
      <c r="M7" s="37"/>
      <c r="N7" s="37"/>
      <c r="O7" s="37"/>
    </row>
    <row r="8" spans="1:15" x14ac:dyDescent="0.15">
      <c r="A8" s="45" t="s">
        <v>22</v>
      </c>
      <c r="B8" s="54"/>
      <c r="C8" s="54"/>
      <c r="D8" s="54">
        <f>SUM(D9:D13)</f>
        <v>66000</v>
      </c>
      <c r="I8" s="37"/>
      <c r="J8" s="37"/>
      <c r="K8" s="37"/>
      <c r="L8" s="37"/>
      <c r="M8" s="37"/>
      <c r="N8" s="37"/>
      <c r="O8" s="37"/>
    </row>
    <row r="9" spans="1:15" x14ac:dyDescent="0.15">
      <c r="A9" s="43" t="s">
        <v>105</v>
      </c>
      <c r="B9" s="53">
        <f>'Подставь свои значения'!B5</f>
        <v>1000</v>
      </c>
      <c r="C9" s="53">
        <f>'Подставь свои значения'!B3</f>
        <v>50</v>
      </c>
      <c r="D9" s="53">
        <f t="shared" ref="D9:D12" si="0">B9*C9</f>
        <v>50000</v>
      </c>
    </row>
    <row r="10" spans="1:15" x14ac:dyDescent="0.15">
      <c r="A10" s="43" t="s">
        <v>23</v>
      </c>
      <c r="B10" s="53">
        <v>10000</v>
      </c>
      <c r="C10" s="53">
        <v>1</v>
      </c>
      <c r="D10" s="53">
        <f t="shared" si="0"/>
        <v>10000</v>
      </c>
    </row>
    <row r="11" spans="1:15" x14ac:dyDescent="0.15">
      <c r="A11" s="43" t="s">
        <v>106</v>
      </c>
      <c r="B11" s="53">
        <v>3000</v>
      </c>
      <c r="C11" s="53">
        <v>1</v>
      </c>
      <c r="D11" s="53">
        <f t="shared" si="0"/>
        <v>3000</v>
      </c>
    </row>
    <row r="12" spans="1:15" x14ac:dyDescent="0.15">
      <c r="A12" s="42" t="s">
        <v>24</v>
      </c>
      <c r="B12" s="53">
        <v>0</v>
      </c>
      <c r="C12" s="53">
        <f>'Подставь свои значения'!B3</f>
        <v>50</v>
      </c>
      <c r="D12" s="53">
        <f t="shared" si="0"/>
        <v>0</v>
      </c>
    </row>
    <row r="13" spans="1:15" x14ac:dyDescent="0.15">
      <c r="A13" s="42" t="s">
        <v>121</v>
      </c>
      <c r="B13" s="53"/>
      <c r="C13" s="53"/>
      <c r="D13" s="53">
        <v>3000</v>
      </c>
    </row>
    <row r="14" spans="1:15" x14ac:dyDescent="0.15">
      <c r="A14" s="45" t="s">
        <v>25</v>
      </c>
      <c r="B14" s="53"/>
      <c r="C14" s="53"/>
      <c r="D14" s="54">
        <f>SUM(D15:D23)</f>
        <v>536528.88000000012</v>
      </c>
    </row>
    <row r="15" spans="1:15" x14ac:dyDescent="0.15">
      <c r="A15" s="43" t="s">
        <v>110</v>
      </c>
      <c r="B15" s="53">
        <v>25000</v>
      </c>
      <c r="C15" s="53">
        <f>IF(D4&lt;E15,1,INT(D4/E15)+1)</f>
        <v>2</v>
      </c>
      <c r="D15" s="53">
        <f>B15*C15*2</f>
        <v>100000</v>
      </c>
      <c r="E15" s="47">
        <v>25000</v>
      </c>
      <c r="F15" s="50" t="s">
        <v>129</v>
      </c>
      <c r="G15" s="50"/>
      <c r="I15" s="37" t="s">
        <v>115</v>
      </c>
    </row>
    <row r="16" spans="1:15" x14ac:dyDescent="0.15">
      <c r="A16" s="42" t="s">
        <v>111</v>
      </c>
      <c r="B16" s="53">
        <v>20000</v>
      </c>
      <c r="C16" s="53">
        <v>1</v>
      </c>
      <c r="D16" s="53">
        <f>B16*C16*2</f>
        <v>40000</v>
      </c>
      <c r="E16" s="47">
        <v>25000</v>
      </c>
      <c r="F16" s="50" t="s">
        <v>130</v>
      </c>
      <c r="G16" s="50"/>
      <c r="I16" s="37" t="s">
        <v>115</v>
      </c>
    </row>
    <row r="17" spans="1:4" x14ac:dyDescent="0.15">
      <c r="A17" s="42" t="s">
        <v>112</v>
      </c>
      <c r="B17" s="53">
        <v>15000</v>
      </c>
      <c r="C17" s="53">
        <v>1</v>
      </c>
      <c r="D17" s="53">
        <f>B17*C17*2</f>
        <v>30000</v>
      </c>
    </row>
    <row r="18" spans="1:4" x14ac:dyDescent="0.15">
      <c r="A18" s="42" t="s">
        <v>26</v>
      </c>
      <c r="B18" s="53"/>
      <c r="C18" s="53"/>
      <c r="D18" s="53">
        <f>(D15+D16+D17)*'Справочник налогов'!B3</f>
        <v>34340</v>
      </c>
    </row>
    <row r="19" spans="1:4" x14ac:dyDescent="0.15">
      <c r="A19" s="42" t="s">
        <v>27</v>
      </c>
      <c r="B19" s="53"/>
      <c r="C19" s="53"/>
      <c r="D19" s="53">
        <f>(D16+D17+D18)*'Справочник налогов'!B2</f>
        <v>0</v>
      </c>
    </row>
    <row r="20" spans="1:4" x14ac:dyDescent="0.15">
      <c r="A20" s="42" t="s">
        <v>29</v>
      </c>
      <c r="B20" s="53">
        <f>D3</f>
        <v>936936.00000000012</v>
      </c>
      <c r="C20" s="46">
        <v>0.03</v>
      </c>
      <c r="D20" s="53">
        <f>B20*C20</f>
        <v>28108.080000000002</v>
      </c>
    </row>
    <row r="21" spans="1:4" x14ac:dyDescent="0.15">
      <c r="A21" s="42" t="s">
        <v>122</v>
      </c>
      <c r="B21" s="53"/>
      <c r="C21" s="53"/>
      <c r="D21" s="53">
        <v>20000</v>
      </c>
    </row>
    <row r="22" spans="1:4" x14ac:dyDescent="0.15">
      <c r="A22" s="42" t="s">
        <v>120</v>
      </c>
      <c r="B22" s="53"/>
      <c r="C22" s="53"/>
      <c r="D22" s="53">
        <f>D3*0.3</f>
        <v>281080.80000000005</v>
      </c>
    </row>
    <row r="23" spans="1:4" x14ac:dyDescent="0.15">
      <c r="A23" s="43" t="s">
        <v>124</v>
      </c>
      <c r="B23" s="53"/>
      <c r="C23" s="53"/>
      <c r="D23" s="53">
        <v>3000</v>
      </c>
    </row>
    <row r="24" spans="1:4" x14ac:dyDescent="0.15">
      <c r="A24" s="43" t="s">
        <v>125</v>
      </c>
      <c r="B24" s="53">
        <f>D3</f>
        <v>936936.00000000012</v>
      </c>
      <c r="C24" s="46">
        <v>0.01</v>
      </c>
      <c r="D24" s="53">
        <f>B24*C24</f>
        <v>9369.36</v>
      </c>
    </row>
    <row r="25" spans="1:4" x14ac:dyDescent="0.15">
      <c r="A25" s="57" t="s">
        <v>126</v>
      </c>
      <c r="B25" s="53"/>
      <c r="C25" s="53"/>
      <c r="D25" s="53">
        <v>10000</v>
      </c>
    </row>
    <row r="26" spans="1:4" x14ac:dyDescent="0.15">
      <c r="A26" s="59" t="s">
        <v>28</v>
      </c>
      <c r="B26" s="52"/>
      <c r="C26" s="52"/>
      <c r="D26" s="52">
        <f>SUM(D3-D7)</f>
        <v>334407.12</v>
      </c>
    </row>
    <row r="27" spans="1:4" x14ac:dyDescent="0.15">
      <c r="A27" s="43" t="s">
        <v>116</v>
      </c>
      <c r="B27" s="74">
        <v>899</v>
      </c>
      <c r="C27" s="53">
        <v>15</v>
      </c>
      <c r="D27" s="53">
        <f>B27*C27</f>
        <v>13485</v>
      </c>
    </row>
    <row r="28" spans="1:4" x14ac:dyDescent="0.15">
      <c r="A28" s="43" t="s">
        <v>127</v>
      </c>
      <c r="B28" s="53"/>
      <c r="C28" s="53"/>
      <c r="D28" s="53"/>
    </row>
    <row r="29" spans="1:4" x14ac:dyDescent="0.15">
      <c r="A29" s="59" t="s">
        <v>30</v>
      </c>
      <c r="B29" s="52"/>
      <c r="C29" s="52"/>
      <c r="D29" s="52">
        <f>D26-D28-D27</f>
        <v>320922.12</v>
      </c>
    </row>
    <row r="30" spans="1:4" x14ac:dyDescent="0.15">
      <c r="A30" s="43" t="s">
        <v>31</v>
      </c>
      <c r="B30" s="53"/>
      <c r="C30" s="53"/>
      <c r="D30" s="53">
        <f>PMT(C36/12,12*C37,-Инвестиции!D32)*'Подставь свои значения'!B14</f>
        <v>0</v>
      </c>
    </row>
    <row r="32" spans="1:4" ht="15" x14ac:dyDescent="0.2">
      <c r="A32" s="120" t="s">
        <v>32</v>
      </c>
      <c r="B32" s="119"/>
      <c r="C32" s="64">
        <f>D29/D3</f>
        <v>0.34252298983068208</v>
      </c>
      <c r="D32" s="44"/>
    </row>
    <row r="33" spans="1:4" ht="33.75" customHeight="1" x14ac:dyDescent="0.2">
      <c r="A33" s="120" t="s">
        <v>33</v>
      </c>
      <c r="B33" s="119"/>
      <c r="C33" s="65">
        <f>Инвестиции!D32/D29</f>
        <v>4.839180297076437</v>
      </c>
      <c r="D33" s="44"/>
    </row>
    <row r="34" spans="1:4" ht="33.75" customHeight="1" x14ac:dyDescent="0.2">
      <c r="A34" s="120" t="s">
        <v>34</v>
      </c>
      <c r="B34" s="119"/>
      <c r="C34" s="65">
        <f>Инвестиции!D32/(D29-D30)</f>
        <v>4.839180297076437</v>
      </c>
      <c r="D34" s="44"/>
    </row>
    <row r="35" spans="1:4" ht="15" x14ac:dyDescent="0.2">
      <c r="A35" s="120" t="s">
        <v>35</v>
      </c>
      <c r="B35" s="119"/>
      <c r="C35" s="64">
        <f>12*(D29-D30)/Инвестиции!D32</f>
        <v>2.4797588151963939</v>
      </c>
      <c r="D35" s="44"/>
    </row>
    <row r="36" spans="1:4" ht="15" x14ac:dyDescent="0.2">
      <c r="A36" s="118" t="s">
        <v>36</v>
      </c>
      <c r="B36" s="119"/>
      <c r="C36" s="61">
        <v>0.2</v>
      </c>
      <c r="D36" s="44"/>
    </row>
    <row r="37" spans="1:4" ht="15" x14ac:dyDescent="0.2">
      <c r="A37" s="118" t="s">
        <v>37</v>
      </c>
      <c r="B37" s="119"/>
      <c r="C37" s="60">
        <v>5</v>
      </c>
      <c r="D37" s="44"/>
    </row>
    <row r="38" spans="1:4" x14ac:dyDescent="0.15">
      <c r="A38" s="43"/>
      <c r="B38" s="44"/>
      <c r="C38" s="44"/>
      <c r="D38" s="44"/>
    </row>
    <row r="39" spans="1:4" s="47" customFormat="1" x14ac:dyDescent="0.15">
      <c r="A39" s="49"/>
      <c r="B39" s="58"/>
      <c r="C39" s="58"/>
      <c r="D39" s="58"/>
    </row>
    <row r="40" spans="1:4" s="47" customFormat="1" x14ac:dyDescent="0.15">
      <c r="B40" s="48"/>
      <c r="C40" s="48"/>
      <c r="D40" s="48"/>
    </row>
    <row r="41" spans="1:4" s="47" customFormat="1" x14ac:dyDescent="0.15">
      <c r="B41" s="48"/>
      <c r="C41" s="48"/>
      <c r="D41" s="48"/>
    </row>
    <row r="42" spans="1:4" s="47" customFormat="1" x14ac:dyDescent="0.15">
      <c r="B42" s="48"/>
      <c r="C42" s="48"/>
      <c r="D42" s="48"/>
    </row>
    <row r="43" spans="1:4" s="47" customFormat="1" x14ac:dyDescent="0.15">
      <c r="B43" s="48"/>
      <c r="C43" s="48"/>
      <c r="D43" s="48"/>
    </row>
    <row r="44" spans="1:4" s="47" customFormat="1" x14ac:dyDescent="0.15">
      <c r="B44" s="48"/>
      <c r="C44" s="48"/>
      <c r="D44" s="48"/>
    </row>
    <row r="45" spans="1:4" s="47" customFormat="1" x14ac:dyDescent="0.15">
      <c r="B45" s="48"/>
      <c r="C45" s="48"/>
      <c r="D45" s="48"/>
    </row>
    <row r="46" spans="1:4" s="47" customFormat="1" x14ac:dyDescent="0.15">
      <c r="B46" s="48"/>
      <c r="C46" s="48"/>
      <c r="D46" s="48"/>
    </row>
    <row r="47" spans="1:4" s="47" customFormat="1" x14ac:dyDescent="0.15">
      <c r="B47" s="48"/>
      <c r="C47" s="48"/>
      <c r="D47" s="48"/>
    </row>
    <row r="48" spans="1:4" s="47" customFormat="1" x14ac:dyDescent="0.15">
      <c r="B48" s="48"/>
      <c r="C48" s="48"/>
      <c r="D48" s="48"/>
    </row>
    <row r="49" spans="2:4" s="47" customFormat="1" x14ac:dyDescent="0.15">
      <c r="B49" s="48"/>
      <c r="C49" s="48"/>
      <c r="D49" s="48"/>
    </row>
    <row r="50" spans="2:4" s="47" customFormat="1" x14ac:dyDescent="0.15">
      <c r="B50" s="48"/>
      <c r="C50" s="48"/>
      <c r="D50" s="48"/>
    </row>
    <row r="51" spans="2:4" s="47" customFormat="1" x14ac:dyDescent="0.15">
      <c r="B51" s="48"/>
      <c r="C51" s="48"/>
      <c r="D51" s="48"/>
    </row>
    <row r="52" spans="2:4" s="47" customFormat="1" x14ac:dyDescent="0.15">
      <c r="B52" s="48"/>
      <c r="C52" s="48"/>
      <c r="D52" s="48"/>
    </row>
    <row r="53" spans="2:4" s="47" customFormat="1" x14ac:dyDescent="0.15">
      <c r="B53" s="48"/>
      <c r="C53" s="48"/>
      <c r="D53" s="48"/>
    </row>
    <row r="54" spans="2:4" s="47" customFormat="1" x14ac:dyDescent="0.15">
      <c r="B54" s="48"/>
      <c r="C54" s="48"/>
      <c r="D54" s="48"/>
    </row>
    <row r="55" spans="2:4" s="47" customFormat="1" x14ac:dyDescent="0.15">
      <c r="B55" s="48"/>
      <c r="C55" s="48"/>
      <c r="D55" s="48"/>
    </row>
    <row r="56" spans="2:4" s="47" customFormat="1" x14ac:dyDescent="0.15">
      <c r="B56" s="48"/>
      <c r="C56" s="48"/>
      <c r="D56" s="48"/>
    </row>
    <row r="57" spans="2:4" s="47" customFormat="1" x14ac:dyDescent="0.15">
      <c r="B57" s="48"/>
      <c r="C57" s="48"/>
      <c r="D57" s="48"/>
    </row>
    <row r="58" spans="2:4" s="47" customFormat="1" x14ac:dyDescent="0.15">
      <c r="B58" s="48"/>
      <c r="C58" s="48"/>
      <c r="D58" s="48"/>
    </row>
    <row r="59" spans="2:4" s="47" customFormat="1" x14ac:dyDescent="0.15">
      <c r="B59" s="48"/>
      <c r="C59" s="48"/>
      <c r="D59" s="48"/>
    </row>
    <row r="60" spans="2:4" s="47" customFormat="1" x14ac:dyDescent="0.15">
      <c r="B60" s="48"/>
      <c r="C60" s="48"/>
      <c r="D60" s="48"/>
    </row>
    <row r="61" spans="2:4" s="47" customFormat="1" x14ac:dyDescent="0.15">
      <c r="B61" s="48"/>
      <c r="C61" s="48"/>
      <c r="D61" s="48"/>
    </row>
    <row r="62" spans="2:4" s="47" customFormat="1" x14ac:dyDescent="0.15">
      <c r="B62" s="48"/>
      <c r="C62" s="48"/>
      <c r="D62" s="48"/>
    </row>
    <row r="63" spans="2:4" s="47" customFormat="1" x14ac:dyDescent="0.15">
      <c r="B63" s="48"/>
      <c r="C63" s="48"/>
      <c r="D63" s="48"/>
    </row>
    <row r="64" spans="2:4" s="47" customFormat="1" x14ac:dyDescent="0.15">
      <c r="B64" s="48"/>
      <c r="C64" s="48"/>
      <c r="D64" s="48"/>
    </row>
    <row r="65" spans="2:4" s="47" customFormat="1" x14ac:dyDescent="0.15">
      <c r="B65" s="48"/>
      <c r="C65" s="48"/>
      <c r="D65" s="48"/>
    </row>
    <row r="66" spans="2:4" s="47" customFormat="1" x14ac:dyDescent="0.15">
      <c r="B66" s="48"/>
      <c r="C66" s="48"/>
      <c r="D66" s="48"/>
    </row>
    <row r="67" spans="2:4" s="47" customFormat="1" x14ac:dyDescent="0.15">
      <c r="B67" s="48"/>
      <c r="C67" s="48"/>
      <c r="D67" s="48"/>
    </row>
    <row r="68" spans="2:4" s="47" customFormat="1" x14ac:dyDescent="0.15">
      <c r="B68" s="48"/>
      <c r="C68" s="48"/>
      <c r="D68" s="48"/>
    </row>
    <row r="69" spans="2:4" s="47" customFormat="1" x14ac:dyDescent="0.15">
      <c r="B69" s="48"/>
      <c r="C69" s="48"/>
      <c r="D69" s="48"/>
    </row>
    <row r="70" spans="2:4" s="47" customFormat="1" x14ac:dyDescent="0.15">
      <c r="B70" s="48"/>
      <c r="C70" s="48"/>
      <c r="D70" s="48"/>
    </row>
    <row r="71" spans="2:4" s="47" customFormat="1" x14ac:dyDescent="0.15">
      <c r="B71" s="48"/>
      <c r="C71" s="48"/>
      <c r="D71" s="48"/>
    </row>
    <row r="72" spans="2:4" s="47" customFormat="1" x14ac:dyDescent="0.15">
      <c r="B72" s="48"/>
      <c r="C72" s="48"/>
      <c r="D72" s="48"/>
    </row>
    <row r="73" spans="2:4" s="47" customFormat="1" x14ac:dyDescent="0.15">
      <c r="B73" s="48"/>
      <c r="C73" s="48"/>
      <c r="D73" s="48"/>
    </row>
    <row r="74" spans="2:4" s="47" customFormat="1" x14ac:dyDescent="0.15">
      <c r="B74" s="48"/>
      <c r="C74" s="48"/>
      <c r="D74" s="48"/>
    </row>
    <row r="75" spans="2:4" s="47" customFormat="1" x14ac:dyDescent="0.15">
      <c r="B75" s="48"/>
      <c r="C75" s="48"/>
      <c r="D75" s="48"/>
    </row>
    <row r="76" spans="2:4" s="47" customFormat="1" x14ac:dyDescent="0.15">
      <c r="B76" s="48"/>
      <c r="C76" s="48"/>
      <c r="D76" s="48"/>
    </row>
    <row r="77" spans="2:4" s="47" customFormat="1" x14ac:dyDescent="0.15">
      <c r="B77" s="48"/>
      <c r="C77" s="48"/>
      <c r="D77" s="48"/>
    </row>
    <row r="78" spans="2:4" s="47" customFormat="1" x14ac:dyDescent="0.15">
      <c r="B78" s="48"/>
      <c r="C78" s="48"/>
      <c r="D78" s="48"/>
    </row>
    <row r="79" spans="2:4" s="47" customFormat="1" x14ac:dyDescent="0.15">
      <c r="B79" s="48"/>
      <c r="C79" s="48"/>
      <c r="D79" s="48"/>
    </row>
    <row r="80" spans="2:4" s="47" customFormat="1" x14ac:dyDescent="0.15">
      <c r="B80" s="48"/>
      <c r="C80" s="48"/>
      <c r="D80" s="48"/>
    </row>
    <row r="81" spans="2:4" s="47" customFormat="1" x14ac:dyDescent="0.15">
      <c r="B81" s="48"/>
      <c r="C81" s="48"/>
      <c r="D81" s="48"/>
    </row>
    <row r="82" spans="2:4" s="47" customFormat="1" x14ac:dyDescent="0.15">
      <c r="B82" s="48"/>
      <c r="C82" s="48"/>
      <c r="D82" s="48"/>
    </row>
    <row r="83" spans="2:4" s="47" customFormat="1" x14ac:dyDescent="0.15">
      <c r="B83" s="48"/>
      <c r="C83" s="48"/>
      <c r="D83" s="48"/>
    </row>
    <row r="84" spans="2:4" s="47" customFormat="1" x14ac:dyDescent="0.15">
      <c r="B84" s="48"/>
      <c r="C84" s="48"/>
      <c r="D84" s="48"/>
    </row>
    <row r="85" spans="2:4" s="47" customFormat="1" x14ac:dyDescent="0.15">
      <c r="B85" s="48"/>
      <c r="C85" s="48"/>
      <c r="D85" s="48"/>
    </row>
    <row r="86" spans="2:4" s="47" customFormat="1" x14ac:dyDescent="0.15">
      <c r="B86" s="48"/>
      <c r="C86" s="48"/>
      <c r="D86" s="48"/>
    </row>
    <row r="87" spans="2:4" s="47" customFormat="1" x14ac:dyDescent="0.15">
      <c r="B87" s="48"/>
      <c r="C87" s="48"/>
      <c r="D87" s="48"/>
    </row>
    <row r="88" spans="2:4" s="47" customFormat="1" x14ac:dyDescent="0.15">
      <c r="B88" s="48"/>
      <c r="C88" s="48"/>
      <c r="D88" s="48"/>
    </row>
    <row r="89" spans="2:4" s="47" customFormat="1" x14ac:dyDescent="0.15">
      <c r="B89" s="48"/>
      <c r="C89" s="48"/>
      <c r="D89" s="48"/>
    </row>
    <row r="90" spans="2:4" s="47" customFormat="1" x14ac:dyDescent="0.15">
      <c r="B90" s="48"/>
      <c r="C90" s="48"/>
      <c r="D90" s="48"/>
    </row>
    <row r="91" spans="2:4" s="47" customFormat="1" x14ac:dyDescent="0.15">
      <c r="B91" s="48"/>
      <c r="C91" s="48"/>
      <c r="D91" s="48"/>
    </row>
    <row r="92" spans="2:4" s="47" customFormat="1" x14ac:dyDescent="0.15">
      <c r="B92" s="48"/>
      <c r="C92" s="48"/>
      <c r="D92" s="48"/>
    </row>
    <row r="93" spans="2:4" s="47" customFormat="1" x14ac:dyDescent="0.15">
      <c r="B93" s="48"/>
      <c r="C93" s="48"/>
      <c r="D93" s="48"/>
    </row>
    <row r="94" spans="2:4" s="47" customFormat="1" x14ac:dyDescent="0.15">
      <c r="B94" s="48"/>
      <c r="C94" s="48"/>
      <c r="D94" s="48"/>
    </row>
    <row r="95" spans="2:4" s="47" customFormat="1" x14ac:dyDescent="0.15">
      <c r="B95" s="48"/>
      <c r="C95" s="48"/>
      <c r="D95" s="48"/>
    </row>
    <row r="96" spans="2:4" s="47" customFormat="1" x14ac:dyDescent="0.15">
      <c r="B96" s="48"/>
      <c r="C96" s="48"/>
      <c r="D96" s="48"/>
    </row>
    <row r="97" spans="2:4" s="47" customFormat="1" x14ac:dyDescent="0.15">
      <c r="B97" s="48"/>
      <c r="C97" s="48"/>
      <c r="D97" s="48"/>
    </row>
    <row r="98" spans="2:4" s="47" customFormat="1" x14ac:dyDescent="0.15">
      <c r="B98" s="48"/>
      <c r="C98" s="48"/>
      <c r="D98" s="48"/>
    </row>
    <row r="99" spans="2:4" s="47" customFormat="1" x14ac:dyDescent="0.15">
      <c r="B99" s="48"/>
      <c r="C99" s="48"/>
      <c r="D99" s="48"/>
    </row>
    <row r="100" spans="2:4" s="47" customFormat="1" x14ac:dyDescent="0.15">
      <c r="B100" s="48"/>
      <c r="C100" s="48"/>
      <c r="D100" s="48"/>
    </row>
    <row r="101" spans="2:4" s="47" customFormat="1" x14ac:dyDescent="0.15">
      <c r="B101" s="48"/>
      <c r="C101" s="48"/>
      <c r="D101" s="48"/>
    </row>
    <row r="102" spans="2:4" s="47" customFormat="1" x14ac:dyDescent="0.15">
      <c r="B102" s="48"/>
      <c r="C102" s="48"/>
      <c r="D102" s="48"/>
    </row>
    <row r="103" spans="2:4" s="47" customFormat="1" x14ac:dyDescent="0.15">
      <c r="B103" s="48"/>
      <c r="C103" s="48"/>
      <c r="D103" s="48"/>
    </row>
    <row r="104" spans="2:4" s="47" customFormat="1" x14ac:dyDescent="0.15">
      <c r="B104" s="48"/>
      <c r="C104" s="48"/>
      <c r="D104" s="48"/>
    </row>
    <row r="105" spans="2:4" s="47" customFormat="1" x14ac:dyDescent="0.15">
      <c r="B105" s="48"/>
      <c r="C105" s="48"/>
      <c r="D105" s="48"/>
    </row>
    <row r="106" spans="2:4" s="47" customFormat="1" x14ac:dyDescent="0.15">
      <c r="B106" s="48"/>
      <c r="C106" s="48"/>
      <c r="D106" s="48"/>
    </row>
    <row r="107" spans="2:4" s="47" customFormat="1" x14ac:dyDescent="0.15">
      <c r="B107" s="48"/>
      <c r="C107" s="48"/>
      <c r="D107" s="48"/>
    </row>
    <row r="108" spans="2:4" s="47" customFormat="1" x14ac:dyDescent="0.15">
      <c r="B108" s="48"/>
      <c r="C108" s="48"/>
      <c r="D108" s="48"/>
    </row>
    <row r="109" spans="2:4" s="47" customFormat="1" x14ac:dyDescent="0.15">
      <c r="B109" s="48"/>
      <c r="C109" s="48"/>
      <c r="D109" s="48"/>
    </row>
    <row r="110" spans="2:4" s="47" customFormat="1" x14ac:dyDescent="0.15">
      <c r="B110" s="48"/>
      <c r="C110" s="48"/>
      <c r="D110" s="48"/>
    </row>
    <row r="111" spans="2:4" s="47" customFormat="1" x14ac:dyDescent="0.15">
      <c r="B111" s="48"/>
      <c r="C111" s="48"/>
      <c r="D111" s="48"/>
    </row>
    <row r="112" spans="2:4" s="47" customFormat="1" x14ac:dyDescent="0.15">
      <c r="B112" s="48"/>
      <c r="C112" s="48"/>
      <c r="D112" s="48"/>
    </row>
    <row r="113" spans="2:4" s="47" customFormat="1" x14ac:dyDescent="0.15">
      <c r="B113" s="48"/>
      <c r="C113" s="48"/>
      <c r="D113" s="48"/>
    </row>
    <row r="114" spans="2:4" s="47" customFormat="1" x14ac:dyDescent="0.15">
      <c r="B114" s="48"/>
      <c r="C114" s="48"/>
      <c r="D114" s="48"/>
    </row>
    <row r="115" spans="2:4" s="47" customFormat="1" x14ac:dyDescent="0.15">
      <c r="B115" s="48"/>
      <c r="C115" s="48"/>
      <c r="D115" s="48"/>
    </row>
    <row r="116" spans="2:4" s="47" customFormat="1" x14ac:dyDescent="0.15">
      <c r="B116" s="48"/>
      <c r="C116" s="48"/>
      <c r="D116" s="48"/>
    </row>
    <row r="117" spans="2:4" s="47" customFormat="1" x14ac:dyDescent="0.15">
      <c r="B117" s="48"/>
      <c r="C117" s="48"/>
      <c r="D117" s="48"/>
    </row>
    <row r="118" spans="2:4" s="47" customFormat="1" x14ac:dyDescent="0.15">
      <c r="B118" s="48"/>
      <c r="C118" s="48"/>
      <c r="D118" s="48"/>
    </row>
    <row r="119" spans="2:4" s="47" customFormat="1" x14ac:dyDescent="0.15">
      <c r="B119" s="48"/>
      <c r="C119" s="48"/>
      <c r="D119" s="48"/>
    </row>
    <row r="120" spans="2:4" s="47" customFormat="1" x14ac:dyDescent="0.15">
      <c r="B120" s="48"/>
      <c r="C120" s="48"/>
      <c r="D120" s="48"/>
    </row>
    <row r="121" spans="2:4" s="47" customFormat="1" x14ac:dyDescent="0.15">
      <c r="B121" s="48"/>
      <c r="C121" s="48"/>
      <c r="D121" s="48"/>
    </row>
    <row r="122" spans="2:4" s="47" customFormat="1" x14ac:dyDescent="0.15">
      <c r="B122" s="48"/>
      <c r="C122" s="48"/>
      <c r="D122" s="48"/>
    </row>
    <row r="123" spans="2:4" s="47" customFormat="1" x14ac:dyDescent="0.15">
      <c r="B123" s="48"/>
      <c r="C123" s="48"/>
      <c r="D123" s="48"/>
    </row>
  </sheetData>
  <mergeCells count="6">
    <mergeCell ref="A37:B37"/>
    <mergeCell ref="A32:B32"/>
    <mergeCell ref="A33:B33"/>
    <mergeCell ref="A34:B34"/>
    <mergeCell ref="A35:B35"/>
    <mergeCell ref="A36:B36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5">
    <tabColor theme="6" tint="0.59999389629810485"/>
  </sheetPr>
  <dimension ref="A1:Y32"/>
  <sheetViews>
    <sheetView workbookViewId="0">
      <pane xSplit="1" ySplit="2" topLeftCell="C6" activePane="bottomRight" state="frozen"/>
      <selection pane="topRight" activeCell="B1" sqref="B1"/>
      <selection pane="bottomLeft" activeCell="A3" sqref="A3"/>
      <selection pane="bottomRight" activeCell="K29" sqref="K29"/>
    </sheetView>
  </sheetViews>
  <sheetFormatPr baseColWidth="10" defaultColWidth="9.1640625" defaultRowHeight="14" x14ac:dyDescent="0.15"/>
  <cols>
    <col min="1" max="1" width="32.1640625" style="27" bestFit="1" customWidth="1"/>
    <col min="2" max="2" width="5.6640625" style="100" hidden="1" customWidth="1"/>
    <col min="3" max="3" width="13.6640625" style="88" customWidth="1"/>
    <col min="4" max="4" width="5.6640625" style="106" hidden="1" customWidth="1"/>
    <col min="5" max="5" width="13.6640625" style="88" customWidth="1"/>
    <col min="6" max="6" width="5.6640625" style="106" hidden="1" customWidth="1"/>
    <col min="7" max="7" width="13.6640625" style="88" customWidth="1"/>
    <col min="8" max="8" width="5.6640625" style="106" hidden="1" customWidth="1"/>
    <col min="9" max="9" width="13.6640625" style="88" customWidth="1"/>
    <col min="10" max="10" width="5.6640625" style="106" hidden="1" customWidth="1"/>
    <col min="11" max="11" width="13.6640625" style="88" customWidth="1"/>
    <col min="12" max="12" width="5.6640625" style="106" hidden="1" customWidth="1"/>
    <col min="13" max="13" width="13.6640625" style="88" customWidth="1"/>
    <col min="14" max="14" width="5.6640625" style="106" hidden="1" customWidth="1"/>
    <col min="15" max="15" width="13.6640625" style="88" customWidth="1"/>
    <col min="16" max="16" width="5.6640625" style="106" hidden="1" customWidth="1"/>
    <col min="17" max="17" width="13.6640625" style="88" customWidth="1"/>
    <col min="18" max="18" width="5.6640625" style="106" hidden="1" customWidth="1"/>
    <col min="19" max="19" width="13.6640625" style="88" customWidth="1"/>
    <col min="20" max="20" width="5.6640625" style="106" hidden="1" customWidth="1"/>
    <col min="21" max="21" width="13.6640625" style="88" customWidth="1"/>
    <col min="22" max="22" width="5.6640625" style="106" hidden="1" customWidth="1"/>
    <col min="23" max="23" width="13.6640625" style="88" customWidth="1"/>
    <col min="24" max="24" width="5.6640625" style="106" hidden="1" customWidth="1"/>
    <col min="25" max="25" width="13.6640625" style="88" customWidth="1"/>
    <col min="26" max="16384" width="9.1640625" style="27"/>
  </cols>
  <sheetData>
    <row r="1" spans="1:25" x14ac:dyDescent="0.15">
      <c r="A1" s="93"/>
      <c r="B1" s="35"/>
      <c r="C1" s="94" t="s">
        <v>38</v>
      </c>
      <c r="D1" s="96"/>
      <c r="E1" s="94" t="s">
        <v>39</v>
      </c>
      <c r="F1" s="96"/>
      <c r="G1" s="94" t="s">
        <v>40</v>
      </c>
      <c r="H1" s="96"/>
      <c r="I1" s="94" t="s">
        <v>41</v>
      </c>
      <c r="J1" s="96"/>
      <c r="K1" s="94" t="s">
        <v>42</v>
      </c>
      <c r="L1" s="96"/>
      <c r="M1" s="94" t="s">
        <v>43</v>
      </c>
      <c r="N1" s="96"/>
      <c r="O1" s="94" t="s">
        <v>44</v>
      </c>
      <c r="P1" s="96"/>
      <c r="Q1" s="94" t="s">
        <v>45</v>
      </c>
      <c r="R1" s="96"/>
      <c r="S1" s="94" t="s">
        <v>46</v>
      </c>
      <c r="T1" s="96"/>
      <c r="U1" s="94" t="s">
        <v>47</v>
      </c>
      <c r="V1" s="96"/>
      <c r="W1" s="94" t="s">
        <v>48</v>
      </c>
      <c r="X1" s="96"/>
      <c r="Y1" s="94" t="s">
        <v>49</v>
      </c>
    </row>
    <row r="2" spans="1:25" ht="11.5" customHeight="1" x14ac:dyDescent="0.15">
      <c r="A2" s="59" t="s">
        <v>102</v>
      </c>
      <c r="B2" s="97"/>
      <c r="C2" s="89">
        <f>C4*23+C5*8</f>
        <v>702702.00000000012</v>
      </c>
      <c r="D2" s="101"/>
      <c r="E2" s="89">
        <f>E4*23+E5*8</f>
        <v>749548.80000000016</v>
      </c>
      <c r="F2" s="101"/>
      <c r="G2" s="89">
        <f>G4*23+G5*8</f>
        <v>843242.40000000014</v>
      </c>
      <c r="H2" s="101"/>
      <c r="I2" s="89">
        <f>I4*23+I5*8</f>
        <v>936936.00000000012</v>
      </c>
      <c r="J2" s="101"/>
      <c r="K2" s="89">
        <f>K4*23+K5*8</f>
        <v>936936.00000000012</v>
      </c>
      <c r="L2" s="101"/>
      <c r="M2" s="89">
        <f>M4*23+M5*8</f>
        <v>936936.00000000012</v>
      </c>
      <c r="N2" s="101"/>
      <c r="O2" s="89">
        <f>O4*23+O5*8</f>
        <v>1030629.6000000001</v>
      </c>
      <c r="P2" s="101"/>
      <c r="Q2" s="89">
        <f>Q4*23+Q5*8</f>
        <v>1030629.6000000001</v>
      </c>
      <c r="R2" s="101"/>
      <c r="S2" s="89">
        <f>S4*23+S5*8</f>
        <v>1124323.2000000002</v>
      </c>
      <c r="T2" s="101"/>
      <c r="U2" s="89">
        <f>U4*23+U5*8</f>
        <v>1124323.2000000002</v>
      </c>
      <c r="V2" s="101"/>
      <c r="W2" s="89">
        <f>W4*23+W5*8</f>
        <v>1124323.2000000002</v>
      </c>
      <c r="X2" s="101"/>
      <c r="Y2" s="89">
        <f>Y4*23+Y5*8</f>
        <v>1124323.2000000002</v>
      </c>
    </row>
    <row r="3" spans="1:25" ht="20.5" hidden="1" customHeight="1" x14ac:dyDescent="0.15">
      <c r="A3" s="43" t="s">
        <v>128</v>
      </c>
      <c r="B3" s="107"/>
      <c r="C3" s="108">
        <v>0.75</v>
      </c>
      <c r="D3" s="107"/>
      <c r="E3" s="108">
        <v>0.8</v>
      </c>
      <c r="F3" s="107"/>
      <c r="G3" s="108">
        <v>0.9</v>
      </c>
      <c r="H3" s="107"/>
      <c r="I3" s="108">
        <v>1</v>
      </c>
      <c r="J3" s="107"/>
      <c r="K3" s="108">
        <v>1</v>
      </c>
      <c r="L3" s="107"/>
      <c r="M3" s="108">
        <v>1</v>
      </c>
      <c r="N3" s="107"/>
      <c r="O3" s="108">
        <v>1.1000000000000001</v>
      </c>
      <c r="P3" s="107"/>
      <c r="Q3" s="108">
        <v>1.1000000000000001</v>
      </c>
      <c r="R3" s="107"/>
      <c r="S3" s="108">
        <v>1.2</v>
      </c>
      <c r="T3" s="107"/>
      <c r="U3" s="108">
        <v>1.2</v>
      </c>
      <c r="V3" s="107"/>
      <c r="W3" s="108">
        <v>1.2</v>
      </c>
      <c r="X3" s="107"/>
      <c r="Y3" s="108">
        <v>1.2</v>
      </c>
    </row>
    <row r="4" spans="1:25" ht="18" hidden="1" customHeight="1" x14ac:dyDescent="0.15">
      <c r="A4" s="43" t="s">
        <v>131</v>
      </c>
      <c r="B4" s="98"/>
      <c r="C4" s="95">
        <f>'Ежемесячные финансы'!$D$4*C3</f>
        <v>24570.000000000007</v>
      </c>
      <c r="D4" s="102"/>
      <c r="E4" s="95">
        <f>'Ежемесячные финансы'!$D$4*E3</f>
        <v>26208.000000000007</v>
      </c>
      <c r="F4" s="102"/>
      <c r="G4" s="95">
        <f>'Ежемесячные финансы'!$D$4*G3</f>
        <v>29484.000000000007</v>
      </c>
      <c r="H4" s="102"/>
      <c r="I4" s="95">
        <f>'Ежемесячные финансы'!$D$4*I3</f>
        <v>32760.000000000007</v>
      </c>
      <c r="J4" s="102"/>
      <c r="K4" s="95">
        <f>'Ежемесячные финансы'!$D$4*K3</f>
        <v>32760.000000000007</v>
      </c>
      <c r="L4" s="102"/>
      <c r="M4" s="95">
        <f>'Ежемесячные финансы'!$D$4*M3</f>
        <v>32760.000000000007</v>
      </c>
      <c r="N4" s="102"/>
      <c r="O4" s="95">
        <f>'Ежемесячные финансы'!$D$4*O3</f>
        <v>36036.000000000007</v>
      </c>
      <c r="P4" s="102"/>
      <c r="Q4" s="95">
        <f>'Ежемесячные финансы'!$D$4*Q3</f>
        <v>36036.000000000007</v>
      </c>
      <c r="R4" s="102"/>
      <c r="S4" s="95">
        <f>'Ежемесячные финансы'!$D$4*S3</f>
        <v>39312.000000000007</v>
      </c>
      <c r="T4" s="102"/>
      <c r="U4" s="95">
        <f>'Ежемесячные финансы'!$D$4*U3</f>
        <v>39312.000000000007</v>
      </c>
      <c r="V4" s="102"/>
      <c r="W4" s="95">
        <f>'Ежемесячные финансы'!$D$4*W3</f>
        <v>39312.000000000007</v>
      </c>
      <c r="X4" s="102"/>
      <c r="Y4" s="95">
        <f>'Ежемесячные финансы'!$D$4*Y3</f>
        <v>39312.000000000007</v>
      </c>
    </row>
    <row r="5" spans="1:25" ht="26.5" hidden="1" customHeight="1" x14ac:dyDescent="0.15">
      <c r="A5" s="43" t="s">
        <v>132</v>
      </c>
      <c r="B5" s="98"/>
      <c r="C5" s="95">
        <f>'Ежемесячные финансы'!$D$5*C3</f>
        <v>17199.000000000004</v>
      </c>
      <c r="D5" s="102"/>
      <c r="E5" s="95">
        <f>'Ежемесячные финансы'!$D$5*E3</f>
        <v>18345.600000000002</v>
      </c>
      <c r="F5" s="102"/>
      <c r="G5" s="95">
        <f>'Ежемесячные финансы'!$D$5*G3</f>
        <v>20638.800000000003</v>
      </c>
      <c r="H5" s="102"/>
      <c r="I5" s="95">
        <f>'Ежемесячные финансы'!$D$5*I3</f>
        <v>22932.000000000004</v>
      </c>
      <c r="J5" s="102"/>
      <c r="K5" s="95">
        <f>'Ежемесячные финансы'!$D$5*K3</f>
        <v>22932.000000000004</v>
      </c>
      <c r="L5" s="102"/>
      <c r="M5" s="95">
        <f>'Ежемесячные финансы'!$D$5*M3</f>
        <v>22932.000000000004</v>
      </c>
      <c r="N5" s="102"/>
      <c r="O5" s="95">
        <f>'Ежемесячные финансы'!$D$5*O3</f>
        <v>25225.200000000004</v>
      </c>
      <c r="P5" s="102"/>
      <c r="Q5" s="95">
        <f>'Ежемесячные финансы'!$D$5*Q3</f>
        <v>25225.200000000004</v>
      </c>
      <c r="R5" s="102"/>
      <c r="S5" s="95">
        <f>'Ежемесячные финансы'!$D$5*S3</f>
        <v>27518.400000000005</v>
      </c>
      <c r="T5" s="102"/>
      <c r="U5" s="95">
        <f>'Ежемесячные финансы'!$D$5*U3</f>
        <v>27518.400000000005</v>
      </c>
      <c r="V5" s="102"/>
      <c r="W5" s="95">
        <f>'Ежемесячные финансы'!$D$5*W3</f>
        <v>27518.400000000005</v>
      </c>
      <c r="X5" s="102"/>
      <c r="Y5" s="95">
        <f>'Ежемесячные финансы'!$D$5*Y3</f>
        <v>27518.400000000005</v>
      </c>
    </row>
    <row r="6" spans="1:25" x14ac:dyDescent="0.15">
      <c r="A6" s="43"/>
      <c r="B6" s="98"/>
      <c r="C6" s="87"/>
      <c r="D6" s="103"/>
      <c r="E6" s="87"/>
      <c r="F6" s="103"/>
      <c r="G6" s="87"/>
      <c r="H6" s="103"/>
      <c r="I6" s="87"/>
      <c r="J6" s="103"/>
      <c r="K6" s="87"/>
      <c r="L6" s="103"/>
      <c r="M6" s="87"/>
      <c r="N6" s="103"/>
      <c r="O6" s="87"/>
      <c r="P6" s="103"/>
      <c r="Q6" s="87"/>
      <c r="R6" s="103"/>
      <c r="S6" s="87"/>
      <c r="T6" s="103"/>
      <c r="U6" s="87"/>
      <c r="V6" s="103"/>
      <c r="W6" s="87"/>
      <c r="X6" s="103"/>
      <c r="Y6" s="87"/>
    </row>
    <row r="7" spans="1:25" x14ac:dyDescent="0.15">
      <c r="A7" s="59" t="s">
        <v>21</v>
      </c>
      <c r="B7" s="97"/>
      <c r="C7" s="89">
        <f>C8+C14</f>
        <v>461077.62000000005</v>
      </c>
      <c r="D7" s="101"/>
      <c r="E7" s="89">
        <f t="shared" ref="E7:Y7" si="0">E8+E14</f>
        <v>606266.59200000006</v>
      </c>
      <c r="F7" s="101"/>
      <c r="G7" s="89">
        <f t="shared" si="0"/>
        <v>638122.41600000008</v>
      </c>
      <c r="H7" s="101"/>
      <c r="I7" s="89">
        <f t="shared" si="0"/>
        <v>669978.24000000011</v>
      </c>
      <c r="J7" s="101"/>
      <c r="K7" s="89">
        <f t="shared" si="0"/>
        <v>669978.24000000011</v>
      </c>
      <c r="L7" s="101"/>
      <c r="M7" s="89">
        <f t="shared" si="0"/>
        <v>669978.24000000011</v>
      </c>
      <c r="N7" s="101"/>
      <c r="O7" s="89">
        <f t="shared" si="0"/>
        <v>701834.0639999999</v>
      </c>
      <c r="P7" s="101"/>
      <c r="Q7" s="89">
        <f t="shared" si="0"/>
        <v>701834.0639999999</v>
      </c>
      <c r="R7" s="101"/>
      <c r="S7" s="89">
        <f t="shared" si="0"/>
        <v>733689.88799999992</v>
      </c>
      <c r="T7" s="101"/>
      <c r="U7" s="89">
        <f t="shared" si="0"/>
        <v>733689.88799999992</v>
      </c>
      <c r="V7" s="101"/>
      <c r="W7" s="89">
        <f t="shared" si="0"/>
        <v>733689.88799999992</v>
      </c>
      <c r="X7" s="101"/>
      <c r="Y7" s="89">
        <f t="shared" si="0"/>
        <v>733689.88799999992</v>
      </c>
    </row>
    <row r="8" spans="1:25" x14ac:dyDescent="0.15">
      <c r="A8" s="45" t="s">
        <v>22</v>
      </c>
      <c r="B8" s="99"/>
      <c r="C8" s="90">
        <f>SUM(C9:C13)</f>
        <v>66000</v>
      </c>
      <c r="D8" s="104"/>
      <c r="E8" s="90">
        <f t="shared" ref="E8:Y8" si="1">SUM(E9:E13)</f>
        <v>66000</v>
      </c>
      <c r="F8" s="104"/>
      <c r="G8" s="90">
        <f t="shared" si="1"/>
        <v>66000</v>
      </c>
      <c r="H8" s="104"/>
      <c r="I8" s="90">
        <f t="shared" si="1"/>
        <v>66000</v>
      </c>
      <c r="J8" s="104"/>
      <c r="K8" s="90">
        <f t="shared" si="1"/>
        <v>66000</v>
      </c>
      <c r="L8" s="104"/>
      <c r="M8" s="90">
        <f t="shared" si="1"/>
        <v>66000</v>
      </c>
      <c r="N8" s="104"/>
      <c r="O8" s="90">
        <f t="shared" si="1"/>
        <v>66000</v>
      </c>
      <c r="P8" s="104"/>
      <c r="Q8" s="90">
        <f t="shared" si="1"/>
        <v>66000</v>
      </c>
      <c r="R8" s="104"/>
      <c r="S8" s="90">
        <f t="shared" si="1"/>
        <v>66000</v>
      </c>
      <c r="T8" s="104"/>
      <c r="U8" s="90">
        <f t="shared" si="1"/>
        <v>66000</v>
      </c>
      <c r="V8" s="104"/>
      <c r="W8" s="90">
        <f t="shared" si="1"/>
        <v>66000</v>
      </c>
      <c r="X8" s="104"/>
      <c r="Y8" s="90">
        <f t="shared" si="1"/>
        <v>66000</v>
      </c>
    </row>
    <row r="9" spans="1:25" x14ac:dyDescent="0.15">
      <c r="A9" s="43" t="s">
        <v>105</v>
      </c>
      <c r="B9" s="98"/>
      <c r="C9" s="87">
        <f>'Ежемесячные финансы'!$D$9</f>
        <v>50000</v>
      </c>
      <c r="D9" s="103"/>
      <c r="E9" s="87">
        <f>'Ежемесячные финансы'!$D$9</f>
        <v>50000</v>
      </c>
      <c r="F9" s="103"/>
      <c r="G9" s="87">
        <f>'Ежемесячные финансы'!$D$9</f>
        <v>50000</v>
      </c>
      <c r="H9" s="103"/>
      <c r="I9" s="87">
        <f>'Ежемесячные финансы'!$D$9</f>
        <v>50000</v>
      </c>
      <c r="J9" s="103"/>
      <c r="K9" s="87">
        <f>'Ежемесячные финансы'!$D$9</f>
        <v>50000</v>
      </c>
      <c r="L9" s="103"/>
      <c r="M9" s="87">
        <f>'Ежемесячные финансы'!$D$9</f>
        <v>50000</v>
      </c>
      <c r="N9" s="103"/>
      <c r="O9" s="87">
        <f>'Ежемесячные финансы'!$D$9</f>
        <v>50000</v>
      </c>
      <c r="P9" s="103"/>
      <c r="Q9" s="87">
        <f>'Ежемесячные финансы'!$D$9</f>
        <v>50000</v>
      </c>
      <c r="R9" s="103"/>
      <c r="S9" s="87">
        <f>'Ежемесячные финансы'!$D$9</f>
        <v>50000</v>
      </c>
      <c r="T9" s="103"/>
      <c r="U9" s="87">
        <f>'Ежемесячные финансы'!$D$9</f>
        <v>50000</v>
      </c>
      <c r="V9" s="103"/>
      <c r="W9" s="87">
        <f>'Ежемесячные финансы'!$D$9</f>
        <v>50000</v>
      </c>
      <c r="X9" s="103"/>
      <c r="Y9" s="87">
        <f>'Ежемесячные финансы'!$D$9</f>
        <v>50000</v>
      </c>
    </row>
    <row r="10" spans="1:25" x14ac:dyDescent="0.15">
      <c r="A10" s="43" t="s">
        <v>23</v>
      </c>
      <c r="B10" s="98"/>
      <c r="C10" s="87">
        <f>'Ежемесячные финансы'!$D$10</f>
        <v>10000</v>
      </c>
      <c r="D10" s="103"/>
      <c r="E10" s="87">
        <f>'Ежемесячные финансы'!$D$10</f>
        <v>10000</v>
      </c>
      <c r="F10" s="103"/>
      <c r="G10" s="87">
        <f>'Ежемесячные финансы'!$D$10</f>
        <v>10000</v>
      </c>
      <c r="H10" s="103"/>
      <c r="I10" s="87">
        <f>'Ежемесячные финансы'!$D$10</f>
        <v>10000</v>
      </c>
      <c r="J10" s="103"/>
      <c r="K10" s="87">
        <f>'Ежемесячные финансы'!$D$10</f>
        <v>10000</v>
      </c>
      <c r="L10" s="103"/>
      <c r="M10" s="87">
        <f>'Ежемесячные финансы'!$D$10</f>
        <v>10000</v>
      </c>
      <c r="N10" s="103"/>
      <c r="O10" s="87">
        <f>'Ежемесячные финансы'!$D$10</f>
        <v>10000</v>
      </c>
      <c r="P10" s="103"/>
      <c r="Q10" s="87">
        <f>'Ежемесячные финансы'!$D$10</f>
        <v>10000</v>
      </c>
      <c r="R10" s="103"/>
      <c r="S10" s="87">
        <f>'Ежемесячные финансы'!$D$10</f>
        <v>10000</v>
      </c>
      <c r="T10" s="103"/>
      <c r="U10" s="87">
        <f>'Ежемесячные финансы'!$D$10</f>
        <v>10000</v>
      </c>
      <c r="V10" s="103"/>
      <c r="W10" s="87">
        <f>'Ежемесячные финансы'!$D$10</f>
        <v>10000</v>
      </c>
      <c r="X10" s="103"/>
      <c r="Y10" s="87">
        <f>'Ежемесячные финансы'!$D$10</f>
        <v>10000</v>
      </c>
    </row>
    <row r="11" spans="1:25" x14ac:dyDescent="0.15">
      <c r="A11" s="43" t="s">
        <v>106</v>
      </c>
      <c r="B11" s="98"/>
      <c r="C11" s="87">
        <f>'Ежемесячные финансы'!$D$11</f>
        <v>3000</v>
      </c>
      <c r="D11" s="103"/>
      <c r="E11" s="87">
        <f>'Ежемесячные финансы'!$D$11</f>
        <v>3000</v>
      </c>
      <c r="F11" s="103"/>
      <c r="G11" s="87">
        <f>'Ежемесячные финансы'!$D$11</f>
        <v>3000</v>
      </c>
      <c r="H11" s="103"/>
      <c r="I11" s="87">
        <f>'Ежемесячные финансы'!$D$11</f>
        <v>3000</v>
      </c>
      <c r="J11" s="103"/>
      <c r="K11" s="87">
        <f>'Ежемесячные финансы'!$D$11</f>
        <v>3000</v>
      </c>
      <c r="L11" s="103"/>
      <c r="M11" s="87">
        <f>'Ежемесячные финансы'!$D$11</f>
        <v>3000</v>
      </c>
      <c r="N11" s="103"/>
      <c r="O11" s="87">
        <f>'Ежемесячные финансы'!$D$11</f>
        <v>3000</v>
      </c>
      <c r="P11" s="103"/>
      <c r="Q11" s="87">
        <f>'Ежемесячные финансы'!$D$11</f>
        <v>3000</v>
      </c>
      <c r="R11" s="103"/>
      <c r="S11" s="87">
        <f>'Ежемесячные финансы'!$D$11</f>
        <v>3000</v>
      </c>
      <c r="T11" s="103"/>
      <c r="U11" s="87">
        <f>'Ежемесячные финансы'!$D$11</f>
        <v>3000</v>
      </c>
      <c r="V11" s="103"/>
      <c r="W11" s="87">
        <f>'Ежемесячные финансы'!$D$11</f>
        <v>3000</v>
      </c>
      <c r="X11" s="103"/>
      <c r="Y11" s="87">
        <f>'Ежемесячные финансы'!$D$11</f>
        <v>3000</v>
      </c>
    </row>
    <row r="12" spans="1:25" x14ac:dyDescent="0.15">
      <c r="A12" s="42" t="s">
        <v>24</v>
      </c>
      <c r="B12" s="98"/>
      <c r="C12" s="91">
        <f>'Ежемесячные финансы'!$D$12</f>
        <v>0</v>
      </c>
      <c r="D12" s="103"/>
      <c r="E12" s="91">
        <f>'Ежемесячные финансы'!$D$12</f>
        <v>0</v>
      </c>
      <c r="F12" s="103"/>
      <c r="G12" s="91">
        <f>'Ежемесячные финансы'!$D$12</f>
        <v>0</v>
      </c>
      <c r="H12" s="103"/>
      <c r="I12" s="91">
        <f>'Ежемесячные финансы'!$D$12</f>
        <v>0</v>
      </c>
      <c r="J12" s="103"/>
      <c r="K12" s="91">
        <f>'Ежемесячные финансы'!$D$12</f>
        <v>0</v>
      </c>
      <c r="L12" s="103"/>
      <c r="M12" s="91">
        <f>'Ежемесячные финансы'!$D$12</f>
        <v>0</v>
      </c>
      <c r="N12" s="103"/>
      <c r="O12" s="91">
        <f>'Ежемесячные финансы'!$D$12</f>
        <v>0</v>
      </c>
      <c r="P12" s="103"/>
      <c r="Q12" s="91">
        <f>'Ежемесячные финансы'!$D$12</f>
        <v>0</v>
      </c>
      <c r="R12" s="103"/>
      <c r="S12" s="91">
        <f>'Ежемесячные финансы'!$D$12</f>
        <v>0</v>
      </c>
      <c r="T12" s="103"/>
      <c r="U12" s="91">
        <f>'Ежемесячные финансы'!$D$12</f>
        <v>0</v>
      </c>
      <c r="V12" s="103"/>
      <c r="W12" s="91">
        <f>'Ежемесячные финансы'!$D$12</f>
        <v>0</v>
      </c>
      <c r="X12" s="103"/>
      <c r="Y12" s="91">
        <f>'Ежемесячные финансы'!$D$12</f>
        <v>0</v>
      </c>
    </row>
    <row r="13" spans="1:25" x14ac:dyDescent="0.15">
      <c r="A13" s="42" t="s">
        <v>121</v>
      </c>
      <c r="B13" s="98"/>
      <c r="C13" s="91">
        <f>'Ежемесячные финансы'!$D$13</f>
        <v>3000</v>
      </c>
      <c r="D13" s="103"/>
      <c r="E13" s="91">
        <f>'Ежемесячные финансы'!$D$13</f>
        <v>3000</v>
      </c>
      <c r="F13" s="103"/>
      <c r="G13" s="91">
        <f>'Ежемесячные финансы'!$D$13</f>
        <v>3000</v>
      </c>
      <c r="H13" s="103"/>
      <c r="I13" s="91">
        <f>'Ежемесячные финансы'!$D$13</f>
        <v>3000</v>
      </c>
      <c r="J13" s="103"/>
      <c r="K13" s="91">
        <f>'Ежемесячные финансы'!$D$13</f>
        <v>3000</v>
      </c>
      <c r="L13" s="103"/>
      <c r="M13" s="91">
        <f>'Ежемесячные финансы'!$D$13</f>
        <v>3000</v>
      </c>
      <c r="N13" s="103"/>
      <c r="O13" s="91">
        <f>'Ежемесячные финансы'!$D$13</f>
        <v>3000</v>
      </c>
      <c r="P13" s="103"/>
      <c r="Q13" s="91">
        <f>'Ежемесячные финансы'!$D$13</f>
        <v>3000</v>
      </c>
      <c r="R13" s="103"/>
      <c r="S13" s="91">
        <f>'Ежемесячные финансы'!$D$13</f>
        <v>3000</v>
      </c>
      <c r="T13" s="103"/>
      <c r="U13" s="91">
        <f>'Ежемесячные финансы'!$D$13</f>
        <v>3000</v>
      </c>
      <c r="V13" s="103"/>
      <c r="W13" s="91">
        <f>'Ежемесячные финансы'!$D$13</f>
        <v>3000</v>
      </c>
      <c r="X13" s="103"/>
      <c r="Y13" s="91">
        <f>'Ежемесячные финансы'!$D$13</f>
        <v>3000</v>
      </c>
    </row>
    <row r="14" spans="1:25" x14ac:dyDescent="0.15">
      <c r="A14" s="45" t="s">
        <v>25</v>
      </c>
      <c r="B14" s="99"/>
      <c r="C14" s="90">
        <f>SUM(C15:C25)</f>
        <v>395077.62000000005</v>
      </c>
      <c r="D14" s="104"/>
      <c r="E14" s="90">
        <f t="shared" ref="E14:Y14" si="2">SUM(E15:E25)</f>
        <v>540266.59200000006</v>
      </c>
      <c r="F14" s="104"/>
      <c r="G14" s="90">
        <f t="shared" si="2"/>
        <v>572122.41600000008</v>
      </c>
      <c r="H14" s="104"/>
      <c r="I14" s="90">
        <f t="shared" si="2"/>
        <v>603978.24000000011</v>
      </c>
      <c r="J14" s="104"/>
      <c r="K14" s="90">
        <f t="shared" si="2"/>
        <v>603978.24000000011</v>
      </c>
      <c r="L14" s="104"/>
      <c r="M14" s="90">
        <f t="shared" si="2"/>
        <v>603978.24000000011</v>
      </c>
      <c r="N14" s="104"/>
      <c r="O14" s="90">
        <f t="shared" si="2"/>
        <v>635834.0639999999</v>
      </c>
      <c r="P14" s="104"/>
      <c r="Q14" s="90">
        <f t="shared" si="2"/>
        <v>635834.0639999999</v>
      </c>
      <c r="R14" s="104"/>
      <c r="S14" s="90">
        <f t="shared" si="2"/>
        <v>667689.88799999992</v>
      </c>
      <c r="T14" s="104"/>
      <c r="U14" s="90">
        <f t="shared" si="2"/>
        <v>667689.88799999992</v>
      </c>
      <c r="V14" s="104"/>
      <c r="W14" s="90">
        <f t="shared" si="2"/>
        <v>667689.88799999992</v>
      </c>
      <c r="X14" s="104"/>
      <c r="Y14" s="90">
        <f t="shared" si="2"/>
        <v>667689.88799999992</v>
      </c>
    </row>
    <row r="15" spans="1:25" x14ac:dyDescent="0.15">
      <c r="A15" s="43" t="s">
        <v>107</v>
      </c>
      <c r="B15" s="98">
        <f>IF(C4&lt;'Ежемесячные финансы'!$E$15,1,INT(C4/'Ежемесячные финансы'!$E$15)+1)</f>
        <v>1</v>
      </c>
      <c r="C15" s="87">
        <f>'Ежемесячные финансы'!$B$15*B15*2</f>
        <v>50000</v>
      </c>
      <c r="D15" s="98">
        <f>IF(E4&lt;'Ежемесячные финансы'!$E$15,1,INT(E4/'Ежемесячные финансы'!$E$15)+1)</f>
        <v>2</v>
      </c>
      <c r="E15" s="87">
        <f>'Ежемесячные финансы'!$B$15*D15*2</f>
        <v>100000</v>
      </c>
      <c r="F15" s="98">
        <f>IF(G4&lt;'Ежемесячные финансы'!$E$15,1,INT(G4/'Ежемесячные финансы'!$E$15)+1)</f>
        <v>2</v>
      </c>
      <c r="G15" s="87">
        <f>'Ежемесячные финансы'!$B$15*F15*2</f>
        <v>100000</v>
      </c>
      <c r="H15" s="98">
        <f>IF(I4&lt;'Ежемесячные финансы'!$E$15,1,INT(I4/'Ежемесячные финансы'!$E$15)+1)</f>
        <v>2</v>
      </c>
      <c r="I15" s="87">
        <f>'Ежемесячные финансы'!$B$15*H15*2</f>
        <v>100000</v>
      </c>
      <c r="J15" s="98">
        <f>IF(K4&lt;'Ежемесячные финансы'!$E$15,1,INT(K4/'Ежемесячные финансы'!$E$15)+1)</f>
        <v>2</v>
      </c>
      <c r="K15" s="87">
        <f>'Ежемесячные финансы'!$B$15*J15*2</f>
        <v>100000</v>
      </c>
      <c r="L15" s="98">
        <f>IF(M4&lt;'Ежемесячные финансы'!$E$15,1,INT(M4/'Ежемесячные финансы'!$E$15)+1)</f>
        <v>2</v>
      </c>
      <c r="M15" s="87">
        <f>'Ежемесячные финансы'!$B$15*L15*2</f>
        <v>100000</v>
      </c>
      <c r="N15" s="98">
        <f>IF(O4&lt;'Ежемесячные финансы'!$E$15,1,INT(O4/'Ежемесячные финансы'!$E$15)+1)</f>
        <v>2</v>
      </c>
      <c r="O15" s="87">
        <f>'Ежемесячные финансы'!$B$15*N15*2</f>
        <v>100000</v>
      </c>
      <c r="P15" s="98">
        <f>IF(Q4&lt;'Ежемесячные финансы'!$E$15,1,INT(Q4/'Ежемесячные финансы'!$E$15)+1)</f>
        <v>2</v>
      </c>
      <c r="Q15" s="87">
        <f>'Ежемесячные финансы'!$B$15*P15*2</f>
        <v>100000</v>
      </c>
      <c r="R15" s="98">
        <f>IF(S4&lt;'Ежемесячные финансы'!$E$15,1,INT(S4/'Ежемесячные финансы'!$E$15)+1)</f>
        <v>2</v>
      </c>
      <c r="S15" s="87">
        <f>'Ежемесячные финансы'!$B$15*R15*2</f>
        <v>100000</v>
      </c>
      <c r="T15" s="98">
        <f>IF(U4&lt;'Ежемесячные финансы'!$E$15,1,INT(U4/'Ежемесячные финансы'!$E$15)+1)</f>
        <v>2</v>
      </c>
      <c r="U15" s="87">
        <f>'Ежемесячные финансы'!$B$15*T15*2</f>
        <v>100000</v>
      </c>
      <c r="V15" s="98">
        <f>IF(W4&lt;'Ежемесячные финансы'!$E$15,1,INT(W4/'Ежемесячные финансы'!$E$15)+1)</f>
        <v>2</v>
      </c>
      <c r="W15" s="87">
        <f>'Ежемесячные финансы'!$B$15*V15*2</f>
        <v>100000</v>
      </c>
      <c r="X15" s="98">
        <f>IF(Y4&lt;'Ежемесячные финансы'!$E$15,1,INT(Y4/'Ежемесячные финансы'!$E$15)+1)</f>
        <v>2</v>
      </c>
      <c r="Y15" s="87">
        <f>'Ежемесячные финансы'!$B$15*X15*2</f>
        <v>100000</v>
      </c>
    </row>
    <row r="16" spans="1:25" x14ac:dyDescent="0.15">
      <c r="A16" s="42" t="s">
        <v>108</v>
      </c>
      <c r="B16" s="98">
        <f>IF(C4&lt;'Ежемесячные финансы'!$E$16,1,INT(C4/'Ежемесячные финансы'!$E$16)+1)</f>
        <v>1</v>
      </c>
      <c r="C16" s="87">
        <f>'Ежемесячные финансы'!$B$16*B16*2</f>
        <v>40000</v>
      </c>
      <c r="D16" s="98">
        <f>IF(E4&lt;'Ежемесячные финансы'!$E$16,1,INT(E4/'Ежемесячные финансы'!$E$16)+1)</f>
        <v>2</v>
      </c>
      <c r="E16" s="87">
        <f>'Ежемесячные финансы'!$B$16*D16*2</f>
        <v>80000</v>
      </c>
      <c r="F16" s="98">
        <f>IF(G4&lt;'Ежемесячные финансы'!$E$16,1,INT(G4/'Ежемесячные финансы'!$E$16)+1)</f>
        <v>2</v>
      </c>
      <c r="G16" s="87">
        <f>'Ежемесячные финансы'!$B$16*F16*2</f>
        <v>80000</v>
      </c>
      <c r="H16" s="98">
        <f>IF(I4&lt;'Ежемесячные финансы'!$E$16,1,INT(I4/'Ежемесячные финансы'!$E$16)+1)</f>
        <v>2</v>
      </c>
      <c r="I16" s="87">
        <f>'Ежемесячные финансы'!$B$16*H16*2</f>
        <v>80000</v>
      </c>
      <c r="J16" s="98">
        <f>IF(K4&lt;'Ежемесячные финансы'!$E$16,1,INT(K4/'Ежемесячные финансы'!$E$16)+1)</f>
        <v>2</v>
      </c>
      <c r="K16" s="87">
        <f>'Ежемесячные финансы'!$B$16*J16*2</f>
        <v>80000</v>
      </c>
      <c r="L16" s="98">
        <f>IF(M4&lt;'Ежемесячные финансы'!$E$16,1,INT(M4/'Ежемесячные финансы'!$E$16)+1)</f>
        <v>2</v>
      </c>
      <c r="M16" s="87">
        <f>'Ежемесячные финансы'!$B$16*L16*2</f>
        <v>80000</v>
      </c>
      <c r="N16" s="98">
        <f>IF(O4&lt;'Ежемесячные финансы'!$E$16,1,INT(O4/'Ежемесячные финансы'!$E$16)+1)</f>
        <v>2</v>
      </c>
      <c r="O16" s="87">
        <f>'Ежемесячные финансы'!$B$16*N16*2</f>
        <v>80000</v>
      </c>
      <c r="P16" s="98">
        <f>IF(Q4&lt;'Ежемесячные финансы'!$E$16,1,INT(Q4/'Ежемесячные финансы'!$E$16)+1)</f>
        <v>2</v>
      </c>
      <c r="Q16" s="87">
        <f>'Ежемесячные финансы'!$B$16*P16*2</f>
        <v>80000</v>
      </c>
      <c r="R16" s="98">
        <f>IF(S4&lt;'Ежемесячные финансы'!$E$16,1,INT(S4/'Ежемесячные финансы'!$E$16)+1)</f>
        <v>2</v>
      </c>
      <c r="S16" s="87">
        <f>'Ежемесячные финансы'!$B$16*R16*2</f>
        <v>80000</v>
      </c>
      <c r="T16" s="98">
        <f>IF(U4&lt;'Ежемесячные финансы'!$E$16,1,INT(U4/'Ежемесячные финансы'!$E$16)+1)</f>
        <v>2</v>
      </c>
      <c r="U16" s="87">
        <f>'Ежемесячные финансы'!$B$16*T16*2</f>
        <v>80000</v>
      </c>
      <c r="V16" s="98">
        <f>IF(W4&lt;'Ежемесячные финансы'!$E$16,1,INT(W4/'Ежемесячные финансы'!$E$16)+1)</f>
        <v>2</v>
      </c>
      <c r="W16" s="87">
        <f>'Ежемесячные финансы'!$B$16*V16*2</f>
        <v>80000</v>
      </c>
      <c r="X16" s="98">
        <f>IF(Y4&lt;'Ежемесячные финансы'!$E$16,1,INT(Y4/'Ежемесячные финансы'!$E$16)+1)</f>
        <v>2</v>
      </c>
      <c r="Y16" s="87">
        <f>'Ежемесячные финансы'!$B$16*X16*2</f>
        <v>80000</v>
      </c>
    </row>
    <row r="17" spans="1:25" x14ac:dyDescent="0.15">
      <c r="A17" s="42" t="s">
        <v>109</v>
      </c>
      <c r="B17" s="98"/>
      <c r="C17" s="91">
        <v>30000</v>
      </c>
      <c r="D17" s="103"/>
      <c r="E17" s="91">
        <v>30000</v>
      </c>
      <c r="F17" s="103"/>
      <c r="G17" s="91">
        <v>30000</v>
      </c>
      <c r="H17" s="103"/>
      <c r="I17" s="91">
        <v>30000</v>
      </c>
      <c r="J17" s="103"/>
      <c r="K17" s="91">
        <v>30000</v>
      </c>
      <c r="L17" s="103"/>
      <c r="M17" s="91">
        <v>30000</v>
      </c>
      <c r="N17" s="103"/>
      <c r="O17" s="91">
        <v>30000</v>
      </c>
      <c r="P17" s="103"/>
      <c r="Q17" s="91">
        <v>30000</v>
      </c>
      <c r="R17" s="103"/>
      <c r="S17" s="91">
        <v>30000</v>
      </c>
      <c r="T17" s="103"/>
      <c r="U17" s="91">
        <v>30000</v>
      </c>
      <c r="V17" s="103"/>
      <c r="W17" s="91">
        <v>30000</v>
      </c>
      <c r="X17" s="103"/>
      <c r="Y17" s="91">
        <v>30000</v>
      </c>
    </row>
    <row r="18" spans="1:25" x14ac:dyDescent="0.15">
      <c r="A18" s="42" t="s">
        <v>26</v>
      </c>
      <c r="B18" s="98"/>
      <c r="C18" s="91">
        <f>(C15+C16+C17)*'Справочник налогов'!$B$3</f>
        <v>24240</v>
      </c>
      <c r="D18" s="103"/>
      <c r="E18" s="91">
        <f>(E15+E16+E17)*'Справочник налогов'!$B$3</f>
        <v>42420</v>
      </c>
      <c r="F18" s="103"/>
      <c r="G18" s="91">
        <f>(G15+G16+G17)*'Справочник налогов'!$B$3</f>
        <v>42420</v>
      </c>
      <c r="H18" s="103"/>
      <c r="I18" s="91">
        <f>(I15+I16+I17)*'Справочник налогов'!$B$3</f>
        <v>42420</v>
      </c>
      <c r="J18" s="103"/>
      <c r="K18" s="91">
        <f>(K15+K16+K17)*'Справочник налогов'!$B$3</f>
        <v>42420</v>
      </c>
      <c r="L18" s="103"/>
      <c r="M18" s="91">
        <f>(M15+M16+M17)*'Справочник налогов'!$B$3</f>
        <v>42420</v>
      </c>
      <c r="N18" s="103"/>
      <c r="O18" s="91">
        <f>(O15+O16+O17)*'Справочник налогов'!$B$3</f>
        <v>42420</v>
      </c>
      <c r="P18" s="103"/>
      <c r="Q18" s="91">
        <f>(Q15+Q16+Q17)*'Справочник налогов'!$B$3</f>
        <v>42420</v>
      </c>
      <c r="R18" s="103"/>
      <c r="S18" s="91">
        <f>(S15+S16+S17)*'Справочник налогов'!$B$3</f>
        <v>42420</v>
      </c>
      <c r="T18" s="103"/>
      <c r="U18" s="91">
        <f>(U15+U16+U17)*'Справочник налогов'!$B$3</f>
        <v>42420</v>
      </c>
      <c r="V18" s="103"/>
      <c r="W18" s="91">
        <f>(W15+W16+W17)*'Справочник налогов'!$B$3</f>
        <v>42420</v>
      </c>
      <c r="X18" s="103"/>
      <c r="Y18" s="91">
        <f>(Y15+Y16+Y17)*'Справочник налогов'!$B$3</f>
        <v>42420</v>
      </c>
    </row>
    <row r="19" spans="1:25" x14ac:dyDescent="0.15">
      <c r="A19" s="42" t="s">
        <v>27</v>
      </c>
      <c r="B19" s="98"/>
      <c r="C19" s="91">
        <f>(C15+C16+C17)*'Справочник налогов'!$B$2</f>
        <v>0</v>
      </c>
      <c r="D19" s="103"/>
      <c r="E19" s="91">
        <f>(E15+E16+E17)*'Справочник налогов'!$B$2</f>
        <v>0</v>
      </c>
      <c r="F19" s="103"/>
      <c r="G19" s="91">
        <f>(G15+G16+G17)*'Справочник налогов'!$B$2</f>
        <v>0</v>
      </c>
      <c r="H19" s="103"/>
      <c r="I19" s="91">
        <f>(I15+I16+I17)*'Справочник налогов'!$B$2</f>
        <v>0</v>
      </c>
      <c r="J19" s="103"/>
      <c r="K19" s="91">
        <f>(K15+K16+K17)*'Справочник налогов'!$B$2</f>
        <v>0</v>
      </c>
      <c r="L19" s="103"/>
      <c r="M19" s="91">
        <f>(M15+M16+M17)*'Справочник налогов'!$B$2</f>
        <v>0</v>
      </c>
      <c r="N19" s="103"/>
      <c r="O19" s="91">
        <f>(O15+O16+O17)*'Справочник налогов'!$B$2</f>
        <v>0</v>
      </c>
      <c r="P19" s="103"/>
      <c r="Q19" s="91">
        <f>(Q15+Q16+Q17)*'Справочник налогов'!$B$2</f>
        <v>0</v>
      </c>
      <c r="R19" s="103"/>
      <c r="S19" s="91">
        <f>(S15+S16+S17)*'Справочник налогов'!$B$2</f>
        <v>0</v>
      </c>
      <c r="T19" s="103"/>
      <c r="U19" s="91">
        <f>(U15+U16+U17)*'Справочник налогов'!$B$2</f>
        <v>0</v>
      </c>
      <c r="V19" s="103"/>
      <c r="W19" s="91">
        <f>(W15+W16+W17)*'Справочник налогов'!$B$2</f>
        <v>0</v>
      </c>
      <c r="X19" s="103"/>
      <c r="Y19" s="91">
        <f>(Y15+Y16+Y17)*'Справочник налогов'!$B$2</f>
        <v>0</v>
      </c>
    </row>
    <row r="20" spans="1:25" x14ac:dyDescent="0.15">
      <c r="A20" s="42" t="s">
        <v>29</v>
      </c>
      <c r="B20" s="98"/>
      <c r="C20" s="91"/>
      <c r="D20" s="103"/>
      <c r="E20" s="91">
        <f t="shared" ref="E20:Y20" si="3">E2*3%</f>
        <v>22486.464000000004</v>
      </c>
      <c r="F20" s="103"/>
      <c r="G20" s="91">
        <f t="shared" si="3"/>
        <v>25297.272000000004</v>
      </c>
      <c r="H20" s="103"/>
      <c r="I20" s="91">
        <f t="shared" si="3"/>
        <v>28108.080000000002</v>
      </c>
      <c r="J20" s="103"/>
      <c r="K20" s="91">
        <f t="shared" si="3"/>
        <v>28108.080000000002</v>
      </c>
      <c r="L20" s="103"/>
      <c r="M20" s="91">
        <f t="shared" si="3"/>
        <v>28108.080000000002</v>
      </c>
      <c r="N20" s="103"/>
      <c r="O20" s="91">
        <f t="shared" si="3"/>
        <v>30918.888000000003</v>
      </c>
      <c r="P20" s="103"/>
      <c r="Q20" s="91">
        <f t="shared" si="3"/>
        <v>30918.888000000003</v>
      </c>
      <c r="R20" s="103"/>
      <c r="S20" s="91">
        <f t="shared" si="3"/>
        <v>33729.696000000004</v>
      </c>
      <c r="T20" s="103"/>
      <c r="U20" s="91">
        <f t="shared" si="3"/>
        <v>33729.696000000004</v>
      </c>
      <c r="V20" s="103"/>
      <c r="W20" s="91">
        <f t="shared" si="3"/>
        <v>33729.696000000004</v>
      </c>
      <c r="X20" s="103"/>
      <c r="Y20" s="91">
        <f t="shared" si="3"/>
        <v>33729.696000000004</v>
      </c>
    </row>
    <row r="21" spans="1:25" x14ac:dyDescent="0.15">
      <c r="A21" s="42" t="s">
        <v>122</v>
      </c>
      <c r="B21" s="98"/>
      <c r="C21" s="91">
        <f>'Ежемесячные финансы'!$D$21</f>
        <v>20000</v>
      </c>
      <c r="D21" s="103"/>
      <c r="E21" s="91">
        <f>'Ежемесячные финансы'!$D$21</f>
        <v>20000</v>
      </c>
      <c r="F21" s="103"/>
      <c r="G21" s="91">
        <f>'Ежемесячные финансы'!$D$21</f>
        <v>20000</v>
      </c>
      <c r="H21" s="103"/>
      <c r="I21" s="91">
        <f>'Ежемесячные финансы'!$D$21</f>
        <v>20000</v>
      </c>
      <c r="J21" s="103"/>
      <c r="K21" s="91">
        <f>'Ежемесячные финансы'!$D$21</f>
        <v>20000</v>
      </c>
      <c r="L21" s="103"/>
      <c r="M21" s="91">
        <f>'Ежемесячные финансы'!$D$21</f>
        <v>20000</v>
      </c>
      <c r="N21" s="103"/>
      <c r="O21" s="91">
        <f>'Ежемесячные финансы'!$D$21</f>
        <v>20000</v>
      </c>
      <c r="P21" s="103"/>
      <c r="Q21" s="91">
        <f>'Ежемесячные финансы'!$D$21</f>
        <v>20000</v>
      </c>
      <c r="R21" s="103"/>
      <c r="S21" s="91">
        <f>'Ежемесячные финансы'!$D$21</f>
        <v>20000</v>
      </c>
      <c r="T21" s="103"/>
      <c r="U21" s="91">
        <f>'Ежемесячные финансы'!$D$21</f>
        <v>20000</v>
      </c>
      <c r="V21" s="103"/>
      <c r="W21" s="91">
        <f>'Ежемесячные финансы'!$D$21</f>
        <v>20000</v>
      </c>
      <c r="X21" s="103"/>
      <c r="Y21" s="91">
        <f>'Ежемесячные финансы'!$D$21</f>
        <v>20000</v>
      </c>
    </row>
    <row r="22" spans="1:25" x14ac:dyDescent="0.15">
      <c r="A22" s="42" t="s">
        <v>120</v>
      </c>
      <c r="B22" s="98"/>
      <c r="C22" s="91">
        <f>C2*0.3</f>
        <v>210810.60000000003</v>
      </c>
      <c r="D22" s="103"/>
      <c r="E22" s="91">
        <f>E2*0.3</f>
        <v>224864.64000000004</v>
      </c>
      <c r="F22" s="103"/>
      <c r="G22" s="91">
        <f>G2*0.3</f>
        <v>252972.72000000003</v>
      </c>
      <c r="H22" s="103"/>
      <c r="I22" s="91">
        <f>I2*0.3</f>
        <v>281080.80000000005</v>
      </c>
      <c r="J22" s="103"/>
      <c r="K22" s="91">
        <f>K2*0.3</f>
        <v>281080.80000000005</v>
      </c>
      <c r="L22" s="103"/>
      <c r="M22" s="91">
        <f>M2*0.3</f>
        <v>281080.80000000005</v>
      </c>
      <c r="N22" s="103"/>
      <c r="O22" s="91">
        <f>O2*0.3</f>
        <v>309188.88</v>
      </c>
      <c r="P22" s="103"/>
      <c r="Q22" s="91">
        <f>Q2*0.3</f>
        <v>309188.88</v>
      </c>
      <c r="R22" s="103"/>
      <c r="S22" s="91">
        <f>S2*0.3</f>
        <v>337296.96</v>
      </c>
      <c r="T22" s="103"/>
      <c r="U22" s="91">
        <f>U2*0.3</f>
        <v>337296.96</v>
      </c>
      <c r="V22" s="103"/>
      <c r="W22" s="91">
        <f>W2*0.3</f>
        <v>337296.96</v>
      </c>
      <c r="X22" s="103"/>
      <c r="Y22" s="91">
        <f>Y2*0.3</f>
        <v>337296.96</v>
      </c>
    </row>
    <row r="23" spans="1:25" x14ac:dyDescent="0.15">
      <c r="A23" s="43" t="s">
        <v>124</v>
      </c>
      <c r="B23" s="98"/>
      <c r="C23" s="87">
        <f>'Ежемесячные финансы'!$D$23</f>
        <v>3000</v>
      </c>
      <c r="D23" s="103"/>
      <c r="E23" s="87">
        <f>'Ежемесячные финансы'!$D$23</f>
        <v>3000</v>
      </c>
      <c r="F23" s="103"/>
      <c r="G23" s="87">
        <f>'Ежемесячные финансы'!$D$23</f>
        <v>3000</v>
      </c>
      <c r="H23" s="103"/>
      <c r="I23" s="87">
        <f>'Ежемесячные финансы'!$D$23</f>
        <v>3000</v>
      </c>
      <c r="J23" s="103"/>
      <c r="K23" s="87">
        <f>'Ежемесячные финансы'!$D$23</f>
        <v>3000</v>
      </c>
      <c r="L23" s="103"/>
      <c r="M23" s="87">
        <f>'Ежемесячные финансы'!$D$23</f>
        <v>3000</v>
      </c>
      <c r="N23" s="103"/>
      <c r="O23" s="87">
        <f>'Ежемесячные финансы'!$D$23</f>
        <v>3000</v>
      </c>
      <c r="P23" s="103"/>
      <c r="Q23" s="87">
        <f>'Ежемесячные финансы'!$D$23</f>
        <v>3000</v>
      </c>
      <c r="R23" s="103"/>
      <c r="S23" s="87">
        <f>'Ежемесячные финансы'!$D$23</f>
        <v>3000</v>
      </c>
      <c r="T23" s="103"/>
      <c r="U23" s="87">
        <f>'Ежемесячные финансы'!$D$23</f>
        <v>3000</v>
      </c>
      <c r="V23" s="103"/>
      <c r="W23" s="87">
        <f>'Ежемесячные финансы'!$D$23</f>
        <v>3000</v>
      </c>
      <c r="X23" s="103"/>
      <c r="Y23" s="87">
        <f>'Ежемесячные финансы'!$D$23</f>
        <v>3000</v>
      </c>
    </row>
    <row r="24" spans="1:25" x14ac:dyDescent="0.15">
      <c r="A24" s="43" t="s">
        <v>125</v>
      </c>
      <c r="B24" s="98"/>
      <c r="C24" s="87">
        <f>C2*'Ежемесячные финансы'!$C$24</f>
        <v>7027.0200000000013</v>
      </c>
      <c r="D24" s="103"/>
      <c r="E24" s="87">
        <f>E2*'Ежемесячные финансы'!$C$24</f>
        <v>7495.4880000000021</v>
      </c>
      <c r="F24" s="103"/>
      <c r="G24" s="87">
        <f>G2*'Ежемесячные финансы'!$C$24</f>
        <v>8432.4240000000009</v>
      </c>
      <c r="H24" s="103"/>
      <c r="I24" s="87">
        <f>I2*'Ежемесячные финансы'!$C$24</f>
        <v>9369.36</v>
      </c>
      <c r="J24" s="103"/>
      <c r="K24" s="87">
        <f>K2*'Ежемесячные финансы'!$C$24</f>
        <v>9369.36</v>
      </c>
      <c r="L24" s="103"/>
      <c r="M24" s="87">
        <f>M2*'Ежемесячные финансы'!$C$24</f>
        <v>9369.36</v>
      </c>
      <c r="N24" s="103"/>
      <c r="O24" s="87">
        <f>O2*'Ежемесячные финансы'!$C$24</f>
        <v>10306.296</v>
      </c>
      <c r="P24" s="103"/>
      <c r="Q24" s="87">
        <f>Q2*'Ежемесячные финансы'!$C$24</f>
        <v>10306.296</v>
      </c>
      <c r="R24" s="103"/>
      <c r="S24" s="87">
        <f>S2*'Ежемесячные финансы'!$C$24</f>
        <v>11243.232000000002</v>
      </c>
      <c r="T24" s="103"/>
      <c r="U24" s="87">
        <f>U2*'Ежемесячные финансы'!$C$24</f>
        <v>11243.232000000002</v>
      </c>
      <c r="V24" s="103"/>
      <c r="W24" s="87">
        <f>W2*'Ежемесячные финансы'!$C$24</f>
        <v>11243.232000000002</v>
      </c>
      <c r="X24" s="103"/>
      <c r="Y24" s="87">
        <f>Y2*'Ежемесячные финансы'!$C$24</f>
        <v>11243.232000000002</v>
      </c>
    </row>
    <row r="25" spans="1:25" x14ac:dyDescent="0.15">
      <c r="A25" s="57" t="s">
        <v>126</v>
      </c>
      <c r="B25" s="60"/>
      <c r="C25" s="92">
        <f>'Ежемесячные финансы'!$D$25</f>
        <v>10000</v>
      </c>
      <c r="D25" s="105"/>
      <c r="E25" s="92">
        <f>'Ежемесячные финансы'!$D$25</f>
        <v>10000</v>
      </c>
      <c r="F25" s="105"/>
      <c r="G25" s="92">
        <f>'Ежемесячные финансы'!$D$25</f>
        <v>10000</v>
      </c>
      <c r="H25" s="105"/>
      <c r="I25" s="92">
        <f>'Ежемесячные финансы'!$D$25</f>
        <v>10000</v>
      </c>
      <c r="J25" s="105"/>
      <c r="K25" s="92">
        <f>'Ежемесячные финансы'!$D$25</f>
        <v>10000</v>
      </c>
      <c r="L25" s="105"/>
      <c r="M25" s="92">
        <f>'Ежемесячные финансы'!$D$25</f>
        <v>10000</v>
      </c>
      <c r="N25" s="105"/>
      <c r="O25" s="92">
        <f>'Ежемесячные финансы'!$D$25</f>
        <v>10000</v>
      </c>
      <c r="P25" s="105"/>
      <c r="Q25" s="92">
        <f>'Ежемесячные финансы'!$D$25</f>
        <v>10000</v>
      </c>
      <c r="R25" s="105"/>
      <c r="S25" s="92">
        <f>'Ежемесячные финансы'!$D$25</f>
        <v>10000</v>
      </c>
      <c r="T25" s="105"/>
      <c r="U25" s="92">
        <f>'Ежемесячные финансы'!$D$25</f>
        <v>10000</v>
      </c>
      <c r="V25" s="105"/>
      <c r="W25" s="92">
        <f>'Ежемесячные финансы'!$D$25</f>
        <v>10000</v>
      </c>
      <c r="X25" s="105"/>
      <c r="Y25" s="92">
        <f>'Ежемесячные финансы'!$D$25</f>
        <v>10000</v>
      </c>
    </row>
    <row r="26" spans="1:25" x14ac:dyDescent="0.15">
      <c r="A26" s="59" t="s">
        <v>28</v>
      </c>
      <c r="B26" s="97"/>
      <c r="C26" s="89">
        <f>C2-C7</f>
        <v>241624.38000000006</v>
      </c>
      <c r="D26" s="101"/>
      <c r="E26" s="89">
        <f>E2-E7</f>
        <v>143282.2080000001</v>
      </c>
      <c r="F26" s="101"/>
      <c r="G26" s="89">
        <f>G2-G7</f>
        <v>205119.98400000005</v>
      </c>
      <c r="H26" s="101"/>
      <c r="I26" s="89">
        <f>I2-I7</f>
        <v>266957.76</v>
      </c>
      <c r="J26" s="101"/>
      <c r="K26" s="89">
        <f>K2-K7</f>
        <v>266957.76</v>
      </c>
      <c r="L26" s="101"/>
      <c r="M26" s="89">
        <f>M2-M7</f>
        <v>266957.76</v>
      </c>
      <c r="N26" s="101"/>
      <c r="O26" s="89">
        <f>O2-O7</f>
        <v>328795.5360000002</v>
      </c>
      <c r="P26" s="101"/>
      <c r="Q26" s="89">
        <f>Q2-Q7</f>
        <v>328795.5360000002</v>
      </c>
      <c r="R26" s="101"/>
      <c r="S26" s="89">
        <f>S2-S7</f>
        <v>390633.31200000027</v>
      </c>
      <c r="T26" s="101"/>
      <c r="U26" s="89">
        <f>U2-U7</f>
        <v>390633.31200000027</v>
      </c>
      <c r="V26" s="101"/>
      <c r="W26" s="89">
        <f>W2-W7</f>
        <v>390633.31200000027</v>
      </c>
      <c r="X26" s="101"/>
      <c r="Y26" s="89">
        <f>Y2-Y7</f>
        <v>390633.31200000027</v>
      </c>
    </row>
    <row r="27" spans="1:25" x14ac:dyDescent="0.15">
      <c r="A27" s="43" t="s">
        <v>116</v>
      </c>
      <c r="B27" s="98"/>
      <c r="C27" s="87">
        <f>'Ежемесячные финансы'!$D$27</f>
        <v>13485</v>
      </c>
      <c r="D27" s="103"/>
      <c r="E27" s="87">
        <f>'Ежемесячные финансы'!$D$27</f>
        <v>13485</v>
      </c>
      <c r="F27" s="103"/>
      <c r="G27" s="87">
        <f>'Ежемесячные финансы'!$D$27</f>
        <v>13485</v>
      </c>
      <c r="H27" s="103"/>
      <c r="I27" s="87">
        <f>'Ежемесячные финансы'!$D$27</f>
        <v>13485</v>
      </c>
      <c r="J27" s="103"/>
      <c r="K27" s="87">
        <f>'Ежемесячные финансы'!$D$27</f>
        <v>13485</v>
      </c>
      <c r="L27" s="103"/>
      <c r="M27" s="87">
        <f>'Ежемесячные финансы'!$D$27</f>
        <v>13485</v>
      </c>
      <c r="N27" s="103"/>
      <c r="O27" s="87">
        <f>'Ежемесячные финансы'!$D$27</f>
        <v>13485</v>
      </c>
      <c r="P27" s="103"/>
      <c r="Q27" s="87">
        <f>'Ежемесячные финансы'!$D$27</f>
        <v>13485</v>
      </c>
      <c r="R27" s="103"/>
      <c r="S27" s="87">
        <f>'Ежемесячные финансы'!$D$27</f>
        <v>13485</v>
      </c>
      <c r="T27" s="103"/>
      <c r="U27" s="87">
        <f>'Ежемесячные финансы'!$D$27</f>
        <v>13485</v>
      </c>
      <c r="V27" s="103"/>
      <c r="W27" s="87">
        <f>'Ежемесячные финансы'!$D$27</f>
        <v>13485</v>
      </c>
      <c r="X27" s="103"/>
      <c r="Y27" s="87">
        <f>'Ежемесячные финансы'!$D$27</f>
        <v>13485</v>
      </c>
    </row>
    <row r="28" spans="1:25" x14ac:dyDescent="0.15">
      <c r="A28" s="43" t="s">
        <v>127</v>
      </c>
      <c r="B28" s="98"/>
      <c r="C28" s="87"/>
      <c r="D28" s="103"/>
      <c r="E28" s="87"/>
      <c r="F28" s="103"/>
      <c r="G28" s="87"/>
      <c r="H28" s="103"/>
      <c r="I28" s="87"/>
      <c r="J28" s="103"/>
      <c r="K28" s="87"/>
      <c r="L28" s="103"/>
      <c r="M28" s="87"/>
      <c r="N28" s="103"/>
      <c r="O28" s="87"/>
      <c r="P28" s="103"/>
      <c r="Q28" s="87"/>
      <c r="R28" s="103"/>
      <c r="S28" s="87"/>
      <c r="T28" s="103"/>
      <c r="U28" s="87"/>
      <c r="V28" s="103"/>
      <c r="W28" s="87"/>
      <c r="X28" s="103"/>
      <c r="Y28" s="87"/>
    </row>
    <row r="29" spans="1:25" x14ac:dyDescent="0.15">
      <c r="A29" s="59" t="s">
        <v>30</v>
      </c>
      <c r="B29" s="97"/>
      <c r="C29" s="89">
        <f>C26-C27-C28</f>
        <v>228139.38000000006</v>
      </c>
      <c r="D29" s="101"/>
      <c r="E29" s="89">
        <f t="shared" ref="E29:Y29" si="4">E26-E27-E28</f>
        <v>129797.2080000001</v>
      </c>
      <c r="F29" s="101"/>
      <c r="G29" s="89">
        <f t="shared" si="4"/>
        <v>191634.98400000005</v>
      </c>
      <c r="H29" s="101"/>
      <c r="I29" s="89">
        <f t="shared" si="4"/>
        <v>253472.76</v>
      </c>
      <c r="J29" s="101"/>
      <c r="K29" s="89">
        <f t="shared" si="4"/>
        <v>253472.76</v>
      </c>
      <c r="L29" s="101"/>
      <c r="M29" s="89">
        <f t="shared" si="4"/>
        <v>253472.76</v>
      </c>
      <c r="N29" s="101"/>
      <c r="O29" s="89">
        <f t="shared" si="4"/>
        <v>315310.5360000002</v>
      </c>
      <c r="P29" s="101"/>
      <c r="Q29" s="89">
        <f t="shared" si="4"/>
        <v>315310.5360000002</v>
      </c>
      <c r="R29" s="101"/>
      <c r="S29" s="89">
        <f t="shared" si="4"/>
        <v>377148.31200000027</v>
      </c>
      <c r="T29" s="101"/>
      <c r="U29" s="89">
        <f t="shared" si="4"/>
        <v>377148.31200000027</v>
      </c>
      <c r="V29" s="101"/>
      <c r="W29" s="89">
        <f t="shared" si="4"/>
        <v>377148.31200000027</v>
      </c>
      <c r="X29" s="101"/>
      <c r="Y29" s="89">
        <f t="shared" si="4"/>
        <v>377148.31200000027</v>
      </c>
    </row>
    <row r="30" spans="1:25" x14ac:dyDescent="0.15">
      <c r="A30" s="43" t="s">
        <v>31</v>
      </c>
      <c r="B30" s="98"/>
      <c r="C30" s="87">
        <f>'Ежемесячные финансы'!$D$30</f>
        <v>0</v>
      </c>
      <c r="D30" s="103"/>
      <c r="E30" s="87">
        <f>'Ежемесячные финансы'!$D$30</f>
        <v>0</v>
      </c>
      <c r="F30" s="103"/>
      <c r="G30" s="87">
        <f>'Ежемесячные финансы'!$D$30</f>
        <v>0</v>
      </c>
      <c r="H30" s="103"/>
      <c r="I30" s="87">
        <f>'Ежемесячные финансы'!$D$30</f>
        <v>0</v>
      </c>
      <c r="J30" s="103"/>
      <c r="K30" s="87">
        <f>'Ежемесячные финансы'!$D$30</f>
        <v>0</v>
      </c>
      <c r="L30" s="103"/>
      <c r="M30" s="87">
        <f>'Ежемесячные финансы'!$D$30</f>
        <v>0</v>
      </c>
      <c r="N30" s="103"/>
      <c r="O30" s="87">
        <f>'Ежемесячные финансы'!$D$30</f>
        <v>0</v>
      </c>
      <c r="P30" s="103"/>
      <c r="Q30" s="87">
        <f>'Ежемесячные финансы'!$D$30</f>
        <v>0</v>
      </c>
      <c r="R30" s="103"/>
      <c r="S30" s="87">
        <f>'Ежемесячные финансы'!$D$30</f>
        <v>0</v>
      </c>
      <c r="T30" s="103"/>
      <c r="U30" s="87">
        <f>'Ежемесячные финансы'!$D$30</f>
        <v>0</v>
      </c>
      <c r="V30" s="103"/>
      <c r="W30" s="87">
        <f>'Ежемесячные финансы'!$D$30</f>
        <v>0</v>
      </c>
      <c r="X30" s="103"/>
      <c r="Y30" s="87">
        <f>'Ежемесячные финансы'!$D$30</f>
        <v>0</v>
      </c>
    </row>
    <row r="31" spans="1:25" x14ac:dyDescent="0.15">
      <c r="A31" s="28" t="s">
        <v>138</v>
      </c>
      <c r="B31" s="110"/>
      <c r="C31" s="111">
        <f>C29</f>
        <v>228139.38000000006</v>
      </c>
      <c r="D31" s="111">
        <f>'Финансовый план на год'!E32-'Финансовый план на год'!D29</f>
        <v>0</v>
      </c>
      <c r="E31" s="111">
        <f>C29+E29</f>
        <v>357936.58800000016</v>
      </c>
      <c r="F31" s="111">
        <f>'Финансовый план на год'!G32-'Финансовый план на год'!F29</f>
        <v>0</v>
      </c>
      <c r="G31" s="111">
        <f>E31+G29</f>
        <v>549571.57200000016</v>
      </c>
      <c r="H31" s="111">
        <f>'Финансовый план на год'!I32-'Финансовый план на год'!H29</f>
        <v>0</v>
      </c>
      <c r="I31" s="111">
        <f>G31+I29</f>
        <v>803044.33200000017</v>
      </c>
      <c r="J31" s="112"/>
      <c r="K31" s="111">
        <f>I31+K29</f>
        <v>1056517.0920000002</v>
      </c>
      <c r="L31" s="112"/>
      <c r="M31" s="111">
        <f>K31+M29</f>
        <v>1309989.8520000002</v>
      </c>
      <c r="N31" s="112"/>
      <c r="O31" s="111">
        <f>M31+O29</f>
        <v>1625300.3880000003</v>
      </c>
      <c r="P31" s="112"/>
      <c r="Q31" s="111">
        <f>O31+Q29</f>
        <v>1940610.9240000006</v>
      </c>
      <c r="R31" s="112"/>
      <c r="S31" s="111">
        <f>Q31+S29</f>
        <v>2317759.236000001</v>
      </c>
      <c r="T31" s="112"/>
      <c r="U31" s="111">
        <f>S31+U29</f>
        <v>2694907.5480000013</v>
      </c>
      <c r="V31" s="112"/>
      <c r="W31" s="111">
        <f>S31+W29</f>
        <v>2694907.5480000013</v>
      </c>
      <c r="X31" s="112"/>
      <c r="Y31" s="111">
        <f>W31+Y29</f>
        <v>3072055.8600000017</v>
      </c>
    </row>
    <row r="32" spans="1:25" x14ac:dyDescent="0.15">
      <c r="A32" s="28" t="s">
        <v>140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6">
    <tabColor theme="9" tint="0.79998168889431442"/>
  </sheetPr>
  <dimension ref="A1:D26"/>
  <sheetViews>
    <sheetView workbookViewId="0">
      <selection activeCell="C26" sqref="C26"/>
    </sheetView>
  </sheetViews>
  <sheetFormatPr baseColWidth="10" defaultColWidth="9.1640625" defaultRowHeight="14" x14ac:dyDescent="0.15"/>
  <cols>
    <col min="1" max="1" width="7.83203125" style="30" bestFit="1" customWidth="1"/>
    <col min="2" max="2" width="7.5" style="30" customWidth="1"/>
    <col min="3" max="3" width="18.5" style="30" customWidth="1"/>
    <col min="4" max="4" width="50.33203125" style="30" customWidth="1"/>
    <col min="5" max="16384" width="9.1640625" style="30"/>
  </cols>
  <sheetData>
    <row r="1" spans="1:4" ht="78" customHeight="1" x14ac:dyDescent="0.15"/>
    <row r="2" spans="1:4" ht="56" x14ac:dyDescent="0.15">
      <c r="A2" s="67" t="s">
        <v>27</v>
      </c>
      <c r="B2" s="68">
        <v>0</v>
      </c>
      <c r="C2" s="69" t="s">
        <v>50</v>
      </c>
      <c r="D2" s="70" t="s">
        <v>51</v>
      </c>
    </row>
    <row r="3" spans="1:4" ht="56" x14ac:dyDescent="0.15">
      <c r="A3" s="67" t="s">
        <v>52</v>
      </c>
      <c r="B3" s="71">
        <f>20%+0.2%</f>
        <v>0.20200000000000001</v>
      </c>
      <c r="C3" s="69" t="s">
        <v>50</v>
      </c>
      <c r="D3" s="85" t="s">
        <v>133</v>
      </c>
    </row>
    <row r="4" spans="1:4" x14ac:dyDescent="0.15">
      <c r="A4" s="67" t="s">
        <v>53</v>
      </c>
      <c r="B4" s="68">
        <v>0.1</v>
      </c>
      <c r="C4" s="69" t="s">
        <v>54</v>
      </c>
      <c r="D4" s="72" t="s">
        <v>134</v>
      </c>
    </row>
    <row r="5" spans="1:4" x14ac:dyDescent="0.15">
      <c r="A5" s="67" t="s">
        <v>53</v>
      </c>
      <c r="B5" s="68">
        <v>0.15</v>
      </c>
      <c r="C5" s="69" t="s">
        <v>54</v>
      </c>
      <c r="D5" s="72"/>
    </row>
    <row r="6" spans="1:4" ht="28" x14ac:dyDescent="0.15">
      <c r="A6" s="67" t="s">
        <v>116</v>
      </c>
      <c r="B6" s="86">
        <v>899</v>
      </c>
      <c r="C6" s="69"/>
      <c r="D6" s="72" t="s">
        <v>119</v>
      </c>
    </row>
    <row r="7" spans="1:4" ht="42" x14ac:dyDescent="0.15">
      <c r="A7" s="67" t="s">
        <v>117</v>
      </c>
      <c r="B7" s="68"/>
      <c r="C7" s="69"/>
      <c r="D7" s="72" t="s">
        <v>118</v>
      </c>
    </row>
    <row r="8" spans="1:4" x14ac:dyDescent="0.15">
      <c r="A8" s="31"/>
      <c r="B8" s="31"/>
      <c r="C8" s="31"/>
      <c r="D8" s="62"/>
    </row>
    <row r="9" spans="1:4" x14ac:dyDescent="0.15">
      <c r="A9" s="31"/>
      <c r="B9" s="31"/>
      <c r="C9" s="31"/>
      <c r="D9" s="62"/>
    </row>
    <row r="10" spans="1:4" x14ac:dyDescent="0.15">
      <c r="A10" s="31"/>
      <c r="B10" s="31"/>
      <c r="C10" s="31"/>
      <c r="D10" s="62"/>
    </row>
    <row r="11" spans="1:4" x14ac:dyDescent="0.15">
      <c r="A11" s="31"/>
      <c r="B11" s="31"/>
      <c r="C11" s="31"/>
      <c r="D11" s="62"/>
    </row>
    <row r="12" spans="1:4" x14ac:dyDescent="0.15">
      <c r="D12" s="63"/>
    </row>
    <row r="13" spans="1:4" x14ac:dyDescent="0.15">
      <c r="D13" s="63"/>
    </row>
    <row r="14" spans="1:4" x14ac:dyDescent="0.15">
      <c r="D14" s="63"/>
    </row>
    <row r="15" spans="1:4" x14ac:dyDescent="0.15">
      <c r="D15" s="63"/>
    </row>
    <row r="16" spans="1:4" x14ac:dyDescent="0.15">
      <c r="D16" s="63"/>
    </row>
    <row r="17" spans="4:4" x14ac:dyDescent="0.15">
      <c r="D17" s="63"/>
    </row>
    <row r="18" spans="4:4" x14ac:dyDescent="0.15">
      <c r="D18" s="63"/>
    </row>
    <row r="19" spans="4:4" x14ac:dyDescent="0.15">
      <c r="D19" s="63"/>
    </row>
    <row r="20" spans="4:4" x14ac:dyDescent="0.15">
      <c r="D20" s="63"/>
    </row>
    <row r="21" spans="4:4" x14ac:dyDescent="0.15">
      <c r="D21" s="63"/>
    </row>
    <row r="22" spans="4:4" x14ac:dyDescent="0.15">
      <c r="D22" s="63"/>
    </row>
    <row r="23" spans="4:4" x14ac:dyDescent="0.15">
      <c r="D23" s="63"/>
    </row>
    <row r="24" spans="4:4" x14ac:dyDescent="0.15">
      <c r="D24" s="63"/>
    </row>
    <row r="25" spans="4:4" x14ac:dyDescent="0.15">
      <c r="D25" s="63"/>
    </row>
    <row r="26" spans="4:4" x14ac:dyDescent="0.15">
      <c r="D26" s="63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7"/>
  <dimension ref="A1:E23"/>
  <sheetViews>
    <sheetView workbookViewId="0">
      <selection activeCell="D27" sqref="D27"/>
    </sheetView>
  </sheetViews>
  <sheetFormatPr baseColWidth="10" defaultColWidth="9.1640625" defaultRowHeight="15" x14ac:dyDescent="0.2"/>
  <cols>
    <col min="1" max="1" width="31.6640625" style="5" customWidth="1"/>
    <col min="2" max="2" width="9.1640625" style="2"/>
    <col min="3" max="3" width="12.33203125" style="2" customWidth="1"/>
    <col min="4" max="4" width="12.5" style="2" customWidth="1"/>
    <col min="5" max="5" width="13" style="2" customWidth="1"/>
    <col min="6" max="16384" width="9.1640625" style="2"/>
  </cols>
  <sheetData>
    <row r="1" spans="1:5" x14ac:dyDescent="0.2">
      <c r="A1" s="1" t="s">
        <v>55</v>
      </c>
    </row>
    <row r="2" spans="1:5" ht="49.5" customHeight="1" x14ac:dyDescent="0.2">
      <c r="A2" s="10" t="s">
        <v>56</v>
      </c>
      <c r="B2" s="10" t="s">
        <v>8</v>
      </c>
      <c r="C2" s="10" t="s">
        <v>57</v>
      </c>
      <c r="D2" s="10" t="s">
        <v>58</v>
      </c>
      <c r="E2" s="10" t="s">
        <v>59</v>
      </c>
    </row>
    <row r="3" spans="1:5" x14ac:dyDescent="0.2">
      <c r="A3" s="12" t="s">
        <v>60</v>
      </c>
      <c r="B3" s="13">
        <v>100</v>
      </c>
      <c r="C3" s="13">
        <f>B3*46%</f>
        <v>46</v>
      </c>
      <c r="D3" s="13">
        <v>0</v>
      </c>
      <c r="E3" s="13">
        <f>B3-C3-D3</f>
        <v>54</v>
      </c>
    </row>
    <row r="4" spans="1:5" x14ac:dyDescent="0.2">
      <c r="A4" s="17" t="s">
        <v>61</v>
      </c>
      <c r="B4" s="18"/>
      <c r="C4" s="18"/>
      <c r="D4" s="18"/>
      <c r="E4" s="19"/>
    </row>
    <row r="5" spans="1:5" x14ac:dyDescent="0.2">
      <c r="A5" s="14" t="s">
        <v>62</v>
      </c>
      <c r="B5" s="15">
        <v>150</v>
      </c>
      <c r="C5" s="16">
        <f t="shared" ref="C5" si="0">B5*46%</f>
        <v>69</v>
      </c>
      <c r="D5" s="16"/>
      <c r="E5" s="16">
        <f t="shared" ref="E5:E23" si="1">B5-C5-D5</f>
        <v>81</v>
      </c>
    </row>
    <row r="6" spans="1:5" x14ac:dyDescent="0.2">
      <c r="A6" s="6" t="s">
        <v>63</v>
      </c>
      <c r="B6" s="9">
        <v>40</v>
      </c>
      <c r="C6" s="7">
        <v>15</v>
      </c>
      <c r="D6" s="7">
        <v>1</v>
      </c>
      <c r="E6" s="7">
        <f t="shared" si="1"/>
        <v>24</v>
      </c>
    </row>
    <row r="7" spans="1:5" x14ac:dyDescent="0.2">
      <c r="A7" s="12" t="s">
        <v>64</v>
      </c>
      <c r="B7" s="20">
        <f>SUM(B5:B6)</f>
        <v>190</v>
      </c>
      <c r="C7" s="13">
        <f>SUM(C5:C6)</f>
        <v>84</v>
      </c>
      <c r="D7" s="13">
        <f>SUM(D5:D6)</f>
        <v>1</v>
      </c>
      <c r="E7" s="13">
        <f t="shared" si="1"/>
        <v>105</v>
      </c>
    </row>
    <row r="8" spans="1:5" x14ac:dyDescent="0.2">
      <c r="A8" s="17" t="s">
        <v>65</v>
      </c>
      <c r="B8" s="21"/>
      <c r="C8" s="18"/>
      <c r="D8" s="18"/>
      <c r="E8" s="19"/>
    </row>
    <row r="9" spans="1:5" x14ac:dyDescent="0.2">
      <c r="A9" s="14" t="s">
        <v>66</v>
      </c>
      <c r="B9" s="15">
        <v>170</v>
      </c>
      <c r="C9" s="16">
        <f>B9*46%</f>
        <v>78.2</v>
      </c>
      <c r="D9" s="16">
        <v>0</v>
      </c>
      <c r="E9" s="16">
        <f t="shared" si="1"/>
        <v>91.8</v>
      </c>
    </row>
    <row r="10" spans="1:5" ht="30" x14ac:dyDescent="0.2">
      <c r="A10" s="4" t="s">
        <v>67</v>
      </c>
      <c r="B10" s="8">
        <v>40</v>
      </c>
      <c r="C10" s="7">
        <v>10</v>
      </c>
      <c r="D10" s="7">
        <v>3</v>
      </c>
      <c r="E10" s="7">
        <f t="shared" si="1"/>
        <v>27</v>
      </c>
    </row>
    <row r="11" spans="1:5" x14ac:dyDescent="0.2">
      <c r="A11" s="4" t="s">
        <v>68</v>
      </c>
      <c r="B11" s="8">
        <v>50</v>
      </c>
      <c r="C11" s="7">
        <f>B11*46%</f>
        <v>23</v>
      </c>
      <c r="D11" s="7">
        <v>0</v>
      </c>
      <c r="E11" s="7">
        <f t="shared" si="1"/>
        <v>27</v>
      </c>
    </row>
    <row r="12" spans="1:5" x14ac:dyDescent="0.2">
      <c r="A12" s="12"/>
      <c r="B12" s="20">
        <f>SUM(B9:B11)</f>
        <v>260</v>
      </c>
      <c r="C12" s="20">
        <f t="shared" ref="C12:D12" si="2">SUM(C9:C11)</f>
        <v>111.2</v>
      </c>
      <c r="D12" s="20">
        <f t="shared" si="2"/>
        <v>3</v>
      </c>
      <c r="E12" s="13">
        <f t="shared" si="1"/>
        <v>145.80000000000001</v>
      </c>
    </row>
    <row r="13" spans="1:5" x14ac:dyDescent="0.2">
      <c r="A13" s="17" t="s">
        <v>69</v>
      </c>
      <c r="B13" s="18"/>
      <c r="C13" s="18"/>
      <c r="D13" s="18"/>
      <c r="E13" s="19"/>
    </row>
    <row r="14" spans="1:5" ht="32.25" customHeight="1" x14ac:dyDescent="0.2">
      <c r="A14" s="23" t="s">
        <v>70</v>
      </c>
      <c r="B14" s="15">
        <v>869</v>
      </c>
      <c r="C14" s="16">
        <v>265</v>
      </c>
      <c r="D14" s="16">
        <v>195</v>
      </c>
      <c r="E14" s="16">
        <f t="shared" si="1"/>
        <v>409</v>
      </c>
    </row>
    <row r="15" spans="1:5" ht="30" x14ac:dyDescent="0.2">
      <c r="A15" s="3" t="s">
        <v>71</v>
      </c>
      <c r="B15" s="8">
        <v>799</v>
      </c>
      <c r="C15" s="7">
        <v>275</v>
      </c>
      <c r="D15" s="7">
        <v>55</v>
      </c>
      <c r="E15" s="7">
        <f t="shared" si="1"/>
        <v>469</v>
      </c>
    </row>
    <row r="16" spans="1:5" ht="18" customHeight="1" x14ac:dyDescent="0.2">
      <c r="A16" s="3" t="s">
        <v>72</v>
      </c>
      <c r="B16" s="7">
        <v>750</v>
      </c>
      <c r="C16" s="7">
        <f>B16*46%</f>
        <v>345</v>
      </c>
      <c r="D16" s="7">
        <v>30</v>
      </c>
      <c r="E16" s="7">
        <f t="shared" si="1"/>
        <v>375</v>
      </c>
    </row>
    <row r="17" spans="1:5" x14ac:dyDescent="0.2">
      <c r="A17" s="12" t="s">
        <v>9</v>
      </c>
      <c r="B17" s="13">
        <v>500</v>
      </c>
      <c r="C17" s="13">
        <f>B17*50%</f>
        <v>250</v>
      </c>
      <c r="D17" s="13">
        <v>80</v>
      </c>
      <c r="E17" s="13">
        <f t="shared" si="1"/>
        <v>170</v>
      </c>
    </row>
    <row r="18" spans="1:5" x14ac:dyDescent="0.2">
      <c r="A18" s="17" t="s">
        <v>73</v>
      </c>
      <c r="B18" s="18"/>
      <c r="C18" s="18"/>
      <c r="D18" s="18"/>
      <c r="E18" s="19">
        <f t="shared" si="1"/>
        <v>0</v>
      </c>
    </row>
    <row r="19" spans="1:5" x14ac:dyDescent="0.2">
      <c r="A19" s="22" t="s">
        <v>10</v>
      </c>
      <c r="B19" s="16">
        <v>250</v>
      </c>
      <c r="C19" s="16">
        <f>B19*50%</f>
        <v>125</v>
      </c>
      <c r="D19" s="16">
        <v>0</v>
      </c>
      <c r="E19" s="16">
        <f t="shared" si="1"/>
        <v>125</v>
      </c>
    </row>
    <row r="20" spans="1:5" x14ac:dyDescent="0.2">
      <c r="A20" s="3" t="s">
        <v>11</v>
      </c>
      <c r="B20" s="7">
        <v>800</v>
      </c>
      <c r="C20" s="7">
        <f t="shared" ref="C20:C22" si="3">B20*50%</f>
        <v>400</v>
      </c>
      <c r="D20" s="7">
        <v>0</v>
      </c>
      <c r="E20" s="7">
        <f t="shared" si="1"/>
        <v>400</v>
      </c>
    </row>
    <row r="21" spans="1:5" x14ac:dyDescent="0.2">
      <c r="A21" s="3" t="s">
        <v>12</v>
      </c>
      <c r="B21" s="7">
        <v>750</v>
      </c>
      <c r="C21" s="7">
        <f t="shared" si="3"/>
        <v>375</v>
      </c>
      <c r="D21" s="7">
        <v>0</v>
      </c>
      <c r="E21" s="7">
        <f t="shared" si="1"/>
        <v>375</v>
      </c>
    </row>
    <row r="22" spans="1:5" x14ac:dyDescent="0.2">
      <c r="A22" s="3" t="s">
        <v>13</v>
      </c>
      <c r="B22" s="7">
        <v>800</v>
      </c>
      <c r="C22" s="7">
        <f t="shared" si="3"/>
        <v>400</v>
      </c>
      <c r="D22" s="7">
        <v>0</v>
      </c>
      <c r="E22" s="7">
        <f t="shared" si="1"/>
        <v>400</v>
      </c>
    </row>
    <row r="23" spans="1:5" x14ac:dyDescent="0.2">
      <c r="A23" s="24" t="s">
        <v>74</v>
      </c>
      <c r="B23" s="25">
        <f>7*14</f>
        <v>98</v>
      </c>
      <c r="C23" s="25"/>
      <c r="D23" s="25"/>
      <c r="E23" s="11">
        <f t="shared" si="1"/>
        <v>98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Подставь свои значения</vt:lpstr>
      <vt:lpstr>Инвестиции</vt:lpstr>
      <vt:lpstr>Ежемесячные финансы</vt:lpstr>
      <vt:lpstr>Финансовый план на год</vt:lpstr>
      <vt:lpstr>Справочник налогов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2018-07-01T16:44:07Z</dcterms:modified>
</cp:coreProperties>
</file>