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0730" windowHeight="11760"/>
  </bookViews>
  <sheets>
    <sheet name="Исходные данные" sheetId="6" r:id="rId1"/>
    <sheet name="Франчайзинговые пакеты" sheetId="7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About_AI" localSheetId="0">#REF!</definedName>
    <definedName name="About_AI">#REF!</definedName>
    <definedName name="About_AI_Summ" localSheetId="0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>[1]Проект!#REF!</definedName>
    <definedName name="EST_FROM" localSheetId="0">[1]Проект!#REF!</definedName>
    <definedName name="EST_FROM">[1]Проект!#REF!</definedName>
    <definedName name="EST_NumStages" localSheetId="0">[1]Проект!#REF!</definedName>
    <definedName name="EST_NumStages">[1]Проект!#REF!</definedName>
    <definedName name="EST_Obj_1" localSheetId="0">[1]Проект!#REF!</definedName>
    <definedName name="EST_Obj_1">[1]Проект!#REF!</definedName>
    <definedName name="EST_Obj_10" localSheetId="0">[1]Проект!#REF!</definedName>
    <definedName name="EST_Obj_10">[1]Проект!#REF!</definedName>
    <definedName name="EST_Obj_2" localSheetId="0">[1]Проект!#REF!</definedName>
    <definedName name="EST_Obj_2">[1]Проект!#REF!</definedName>
    <definedName name="EST_Obj_3" localSheetId="0">[1]Проект!#REF!</definedName>
    <definedName name="EST_Obj_3">[1]Проект!#REF!</definedName>
    <definedName name="EST_Obj_4" localSheetId="0">[1]Проект!#REF!</definedName>
    <definedName name="EST_Obj_4">[1]Проект!#REF!</definedName>
    <definedName name="EST_Obj_5" localSheetId="0">[1]Проект!#REF!</definedName>
    <definedName name="EST_Obj_5">[1]Проект!#REF!</definedName>
    <definedName name="EST_Obj_6" localSheetId="0">[1]Проект!#REF!</definedName>
    <definedName name="EST_Obj_6">[1]Проект!#REF!</definedName>
    <definedName name="EST_Obj_7" localSheetId="0">[1]Проект!#REF!</definedName>
    <definedName name="EST_Obj_7">[1]Проект!#REF!</definedName>
    <definedName name="EST_Obj_8" localSheetId="0">[1]Проект!#REF!</definedName>
    <definedName name="EST_Obj_8">[1]Проект!#REF!</definedName>
    <definedName name="EST_Obj_9" localSheetId="0">[1]Проект!#REF!</definedName>
    <definedName name="EST_Obj_9">[1]Проект!#REF!</definedName>
    <definedName name="EST_ProdNum" localSheetId="0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>[3]Отчет!#REF!</definedName>
    <definedName name="_xlnm.Print_Titles" localSheetId="2">'Детальный расчет'!$A:$B</definedName>
    <definedName name="и" localSheetId="0">[3]Отчет!#REF!</definedName>
    <definedName name="и">[3]Отчет!#REF!</definedName>
    <definedName name="_xlnm.Print_Area" localSheetId="2">'Детальный расчет'!$A$5:$AS$87</definedName>
    <definedName name="_xlnm.Print_Area" localSheetId="0">'Исходные данные'!$A$2:$N$75</definedName>
    <definedName name="_xlnm.Print_Area" localSheetId="1">'Франчайзинговые пакеты'!$A$2:$B$8</definedName>
    <definedName name="п" localSheetId="0">[3]Отчет!#REF!</definedName>
    <definedName name="п">[3]Отчет!#REF!</definedName>
  </definedNames>
  <calcPr calcId="145621"/>
</workbook>
</file>

<file path=xl/calcChain.xml><?xml version="1.0" encoding="utf-8"?>
<calcChain xmlns="http://schemas.openxmlformats.org/spreadsheetml/2006/main">
  <c r="AP57" i="4" l="1"/>
  <c r="AO57" i="4"/>
  <c r="AN57" i="4"/>
  <c r="AM57" i="4"/>
  <c r="AL57" i="4"/>
  <c r="AK57" i="4"/>
  <c r="AJ57" i="4"/>
  <c r="AI57" i="4"/>
  <c r="AH57" i="4"/>
  <c r="AG57" i="4"/>
  <c r="AF57" i="4"/>
  <c r="AE57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B57" i="4"/>
  <c r="AA57" i="4"/>
  <c r="Z57" i="4"/>
  <c r="Y57" i="4"/>
  <c r="X57" i="4"/>
  <c r="W57" i="4"/>
  <c r="V57" i="4"/>
  <c r="U57" i="4"/>
  <c r="T57" i="4"/>
  <c r="S57" i="4"/>
  <c r="R57" i="4"/>
  <c r="Q57" i="4"/>
  <c r="AB56" i="4"/>
  <c r="AA56" i="4"/>
  <c r="Z56" i="4"/>
  <c r="Y56" i="4"/>
  <c r="X56" i="4"/>
  <c r="W56" i="4"/>
  <c r="V56" i="4"/>
  <c r="U56" i="4"/>
  <c r="T56" i="4"/>
  <c r="S56" i="4"/>
  <c r="R56" i="4"/>
  <c r="Q56" i="4"/>
  <c r="AB55" i="4"/>
  <c r="AA55" i="4"/>
  <c r="Z55" i="4"/>
  <c r="Y55" i="4"/>
  <c r="X55" i="4"/>
  <c r="W55" i="4"/>
  <c r="V55" i="4"/>
  <c r="U55" i="4"/>
  <c r="T55" i="4"/>
  <c r="S55" i="4"/>
  <c r="R55" i="4"/>
  <c r="Q55" i="4"/>
  <c r="AB54" i="4"/>
  <c r="AA54" i="4"/>
  <c r="Z54" i="4"/>
  <c r="Y54" i="4"/>
  <c r="X54" i="4"/>
  <c r="W54" i="4"/>
  <c r="V54" i="4"/>
  <c r="U54" i="4"/>
  <c r="T54" i="4"/>
  <c r="S54" i="4"/>
  <c r="R54" i="4"/>
  <c r="Q54" i="4"/>
  <c r="AB53" i="4"/>
  <c r="AA53" i="4"/>
  <c r="Z53" i="4"/>
  <c r="Y53" i="4"/>
  <c r="X53" i="4"/>
  <c r="W53" i="4"/>
  <c r="V53" i="4"/>
  <c r="U53" i="4"/>
  <c r="T53" i="4"/>
  <c r="S53" i="4"/>
  <c r="R53" i="4"/>
  <c r="Q53" i="4"/>
  <c r="AB51" i="4"/>
  <c r="AA51" i="4"/>
  <c r="Z51" i="4"/>
  <c r="Y51" i="4"/>
  <c r="X51" i="4"/>
  <c r="W51" i="4"/>
  <c r="V51" i="4"/>
  <c r="U51" i="4"/>
  <c r="T51" i="4"/>
  <c r="S51" i="4"/>
  <c r="R51" i="4"/>
  <c r="Q51" i="4"/>
  <c r="AB50" i="4"/>
  <c r="AA50" i="4"/>
  <c r="Z50" i="4"/>
  <c r="Y50" i="4"/>
  <c r="X50" i="4"/>
  <c r="W50" i="4"/>
  <c r="V50" i="4"/>
  <c r="U50" i="4"/>
  <c r="T50" i="4"/>
  <c r="S50" i="4"/>
  <c r="R50" i="4"/>
  <c r="Q50" i="4"/>
  <c r="AB49" i="4"/>
  <c r="AA49" i="4"/>
  <c r="Z49" i="4"/>
  <c r="Y49" i="4"/>
  <c r="X49" i="4"/>
  <c r="W49" i="4"/>
  <c r="V49" i="4"/>
  <c r="U49" i="4"/>
  <c r="T49" i="4"/>
  <c r="S49" i="4"/>
  <c r="R49" i="4"/>
  <c r="Q49" i="4"/>
  <c r="AB48" i="4"/>
  <c r="AA48" i="4"/>
  <c r="Z48" i="4"/>
  <c r="Y48" i="4"/>
  <c r="X48" i="4"/>
  <c r="W48" i="4"/>
  <c r="V48" i="4"/>
  <c r="U48" i="4"/>
  <c r="T48" i="4"/>
  <c r="S48" i="4"/>
  <c r="R48" i="4"/>
  <c r="Q48" i="4"/>
  <c r="AB47" i="4"/>
  <c r="AA47" i="4"/>
  <c r="Z47" i="4"/>
  <c r="Y47" i="4"/>
  <c r="X47" i="4"/>
  <c r="W47" i="4"/>
  <c r="V47" i="4"/>
  <c r="U47" i="4"/>
  <c r="T47" i="4"/>
  <c r="S47" i="4"/>
  <c r="R47" i="4"/>
  <c r="Q47" i="4"/>
  <c r="AB46" i="4"/>
  <c r="AA46" i="4"/>
  <c r="Z46" i="4"/>
  <c r="Y46" i="4"/>
  <c r="X46" i="4"/>
  <c r="W46" i="4"/>
  <c r="V46" i="4"/>
  <c r="U46" i="4"/>
  <c r="T46" i="4"/>
  <c r="S46" i="4"/>
  <c r="R46" i="4"/>
  <c r="Q46" i="4"/>
  <c r="AB45" i="4"/>
  <c r="AA45" i="4"/>
  <c r="Z45" i="4"/>
  <c r="Y45" i="4"/>
  <c r="X45" i="4"/>
  <c r="W45" i="4"/>
  <c r="V45" i="4"/>
  <c r="U45" i="4"/>
  <c r="T45" i="4"/>
  <c r="S45" i="4"/>
  <c r="R45" i="4"/>
  <c r="Q45" i="4"/>
  <c r="D45" i="4"/>
  <c r="E45" i="4"/>
  <c r="F45" i="4"/>
  <c r="G45" i="4"/>
  <c r="H45" i="4"/>
  <c r="I45" i="4"/>
  <c r="J45" i="4"/>
  <c r="K45" i="4"/>
  <c r="L45" i="4"/>
  <c r="M45" i="4"/>
  <c r="N45" i="4"/>
  <c r="D46" i="4"/>
  <c r="E46" i="4"/>
  <c r="F46" i="4"/>
  <c r="G46" i="4"/>
  <c r="H46" i="4"/>
  <c r="I46" i="4"/>
  <c r="J46" i="4"/>
  <c r="K46" i="4"/>
  <c r="L46" i="4"/>
  <c r="M46" i="4"/>
  <c r="N46" i="4"/>
  <c r="D47" i="4"/>
  <c r="E47" i="4"/>
  <c r="F47" i="4"/>
  <c r="G47" i="4"/>
  <c r="H47" i="4"/>
  <c r="I47" i="4"/>
  <c r="J47" i="4"/>
  <c r="K47" i="4"/>
  <c r="L47" i="4"/>
  <c r="M47" i="4"/>
  <c r="N47" i="4"/>
  <c r="D48" i="4"/>
  <c r="E48" i="4"/>
  <c r="F48" i="4"/>
  <c r="G48" i="4"/>
  <c r="H48" i="4"/>
  <c r="I48" i="4"/>
  <c r="J48" i="4"/>
  <c r="K48" i="4"/>
  <c r="L48" i="4"/>
  <c r="M48" i="4"/>
  <c r="N48" i="4"/>
  <c r="D49" i="4"/>
  <c r="E49" i="4"/>
  <c r="F49" i="4"/>
  <c r="G49" i="4"/>
  <c r="H49" i="4"/>
  <c r="I49" i="4"/>
  <c r="J49" i="4"/>
  <c r="K49" i="4"/>
  <c r="L49" i="4"/>
  <c r="M49" i="4"/>
  <c r="N49" i="4"/>
  <c r="D50" i="4"/>
  <c r="E50" i="4"/>
  <c r="F50" i="4"/>
  <c r="G50" i="4"/>
  <c r="H50" i="4"/>
  <c r="I50" i="4"/>
  <c r="J50" i="4"/>
  <c r="K50" i="4"/>
  <c r="L50" i="4"/>
  <c r="M50" i="4"/>
  <c r="N50" i="4"/>
  <c r="D51" i="4"/>
  <c r="E51" i="4"/>
  <c r="F51" i="4"/>
  <c r="G51" i="4"/>
  <c r="H51" i="4"/>
  <c r="I51" i="4"/>
  <c r="J51" i="4"/>
  <c r="K51" i="4"/>
  <c r="L51" i="4"/>
  <c r="M51" i="4"/>
  <c r="N51" i="4"/>
  <c r="D53" i="4"/>
  <c r="E53" i="4"/>
  <c r="F53" i="4"/>
  <c r="G53" i="4"/>
  <c r="H53" i="4"/>
  <c r="I53" i="4"/>
  <c r="J53" i="4"/>
  <c r="K53" i="4"/>
  <c r="L53" i="4"/>
  <c r="M53" i="4"/>
  <c r="N53" i="4"/>
  <c r="D54" i="4"/>
  <c r="E54" i="4"/>
  <c r="F54" i="4"/>
  <c r="G54" i="4"/>
  <c r="H54" i="4"/>
  <c r="I54" i="4"/>
  <c r="J54" i="4"/>
  <c r="K54" i="4"/>
  <c r="L54" i="4"/>
  <c r="M54" i="4"/>
  <c r="N54" i="4"/>
  <c r="D55" i="4"/>
  <c r="E55" i="4"/>
  <c r="F55" i="4"/>
  <c r="G55" i="4"/>
  <c r="H55" i="4"/>
  <c r="I55" i="4"/>
  <c r="J55" i="4"/>
  <c r="K55" i="4"/>
  <c r="L55" i="4"/>
  <c r="M55" i="4"/>
  <c r="N55" i="4"/>
  <c r="D56" i="4"/>
  <c r="E56" i="4"/>
  <c r="F56" i="4"/>
  <c r="G56" i="4"/>
  <c r="H56" i="4"/>
  <c r="I56" i="4"/>
  <c r="J56" i="4"/>
  <c r="K56" i="4"/>
  <c r="L56" i="4"/>
  <c r="M56" i="4"/>
  <c r="N56" i="4"/>
  <c r="D57" i="4"/>
  <c r="E57" i="4"/>
  <c r="F57" i="4"/>
  <c r="G57" i="4"/>
  <c r="H57" i="4"/>
  <c r="I57" i="4"/>
  <c r="J57" i="4"/>
  <c r="K57" i="4"/>
  <c r="L57" i="4"/>
  <c r="M57" i="4"/>
  <c r="N57" i="4"/>
  <c r="C45" i="4"/>
  <c r="E36" i="6" l="1"/>
  <c r="C7" i="6"/>
  <c r="W3" i="6"/>
  <c r="W4" i="6"/>
  <c r="W5" i="6"/>
  <c r="W2" i="6"/>
  <c r="B4" i="7"/>
  <c r="K7" i="6" l="1"/>
  <c r="F40" i="6" l="1"/>
  <c r="C57" i="4" l="1"/>
  <c r="C56" i="4"/>
  <c r="C55" i="4"/>
  <c r="C54" i="4"/>
  <c r="C53" i="4"/>
  <c r="C51" i="4"/>
  <c r="C50" i="4"/>
  <c r="C49" i="4"/>
  <c r="C48" i="4"/>
  <c r="C47" i="4"/>
  <c r="A57" i="4"/>
  <c r="A56" i="4"/>
  <c r="A55" i="4"/>
  <c r="A54" i="4"/>
  <c r="B54" i="4"/>
  <c r="C39" i="4"/>
  <c r="C38" i="4"/>
  <c r="C37" i="4"/>
  <c r="C36" i="4"/>
  <c r="O36" i="4" s="1"/>
  <c r="C35" i="4"/>
  <c r="C34" i="4"/>
  <c r="C33" i="4"/>
  <c r="C32" i="4"/>
  <c r="A39" i="4"/>
  <c r="A38" i="4"/>
  <c r="A37" i="4"/>
  <c r="A36" i="4"/>
  <c r="A35" i="4"/>
  <c r="A34" i="4"/>
  <c r="A33" i="4"/>
  <c r="AQ36" i="4"/>
  <c r="AC36" i="4"/>
  <c r="B36" i="4"/>
  <c r="B28" i="4"/>
  <c r="B27" i="4"/>
  <c r="B26" i="4"/>
  <c r="B25" i="4"/>
  <c r="B24" i="4"/>
  <c r="B23" i="4"/>
  <c r="N60" i="6"/>
  <c r="C40" i="4" l="1"/>
  <c r="AC54" i="4"/>
  <c r="AD54" i="4" s="1"/>
  <c r="AQ54" i="4"/>
  <c r="AR54" i="4" s="1"/>
  <c r="O54" i="4"/>
  <c r="AS36" i="4"/>
  <c r="AS54" i="4" l="1"/>
  <c r="P54" i="4"/>
  <c r="E37" i="6" l="1"/>
  <c r="N32" i="6"/>
  <c r="N31" i="6"/>
  <c r="B45" i="4" l="1"/>
  <c r="A45" i="4"/>
  <c r="N49" i="6"/>
  <c r="C46" i="4"/>
  <c r="O47" i="4"/>
  <c r="O48" i="4"/>
  <c r="O49" i="4"/>
  <c r="P49" i="4" s="1"/>
  <c r="O50" i="4"/>
  <c r="O53" i="4"/>
  <c r="P53" i="4" s="1"/>
  <c r="O55" i="4"/>
  <c r="O57" i="4"/>
  <c r="P57" i="4" s="1"/>
  <c r="O32" i="4"/>
  <c r="A53" i="4"/>
  <c r="A52" i="4"/>
  <c r="A51" i="4"/>
  <c r="A50" i="4"/>
  <c r="A49" i="4"/>
  <c r="A48" i="4"/>
  <c r="A47" i="4"/>
  <c r="A46" i="4"/>
  <c r="N57" i="6"/>
  <c r="O33" i="4"/>
  <c r="O34" i="4"/>
  <c r="O37" i="4"/>
  <c r="O38" i="4"/>
  <c r="O39" i="4"/>
  <c r="A19" i="4"/>
  <c r="A28" i="4" s="1"/>
  <c r="A18" i="4"/>
  <c r="A27" i="4" s="1"/>
  <c r="A17" i="4"/>
  <c r="A26" i="4" s="1"/>
  <c r="A16" i="4"/>
  <c r="A25" i="4" s="1"/>
  <c r="A15" i="4"/>
  <c r="A24" i="4" s="1"/>
  <c r="A14" i="4"/>
  <c r="A23" i="4" s="1"/>
  <c r="B16" i="4"/>
  <c r="B15" i="4"/>
  <c r="B14" i="4"/>
  <c r="B19" i="4"/>
  <c r="B18" i="4"/>
  <c r="B17" i="4"/>
  <c r="P22" i="4"/>
  <c r="P31" i="4" s="1"/>
  <c r="P42" i="4" s="1"/>
  <c r="P60" i="4" s="1"/>
  <c r="P70" i="4" s="1"/>
  <c r="B53" i="4"/>
  <c r="N55" i="6"/>
  <c r="N53" i="6"/>
  <c r="B38" i="4"/>
  <c r="AC38" i="4"/>
  <c r="AQ38" i="4"/>
  <c r="AQ35" i="4"/>
  <c r="AC35" i="4"/>
  <c r="B35" i="4"/>
  <c r="B51" i="4"/>
  <c r="N56" i="6"/>
  <c r="B52" i="4"/>
  <c r="B50" i="4"/>
  <c r="A84" i="4"/>
  <c r="A82" i="4"/>
  <c r="B74" i="4"/>
  <c r="B77" i="4"/>
  <c r="B76" i="4"/>
  <c r="B75" i="4"/>
  <c r="B73" i="4"/>
  <c r="B72" i="4"/>
  <c r="B71" i="4"/>
  <c r="B68" i="4"/>
  <c r="B67" i="4"/>
  <c r="B66" i="4"/>
  <c r="B65" i="4"/>
  <c r="B64" i="4"/>
  <c r="B63" i="4"/>
  <c r="B62" i="4"/>
  <c r="B61" i="4"/>
  <c r="B58" i="4"/>
  <c r="B57" i="4"/>
  <c r="B56" i="4"/>
  <c r="B55" i="4"/>
  <c r="B49" i="4"/>
  <c r="B48" i="4"/>
  <c r="B47" i="4"/>
  <c r="B46" i="4"/>
  <c r="B44" i="4"/>
  <c r="B43" i="4"/>
  <c r="B40" i="4"/>
  <c r="B39" i="4"/>
  <c r="B37" i="4"/>
  <c r="B34" i="4"/>
  <c r="B33" i="4"/>
  <c r="B32" i="4"/>
  <c r="B29" i="4"/>
  <c r="B20" i="4"/>
  <c r="N58" i="6"/>
  <c r="N70" i="6"/>
  <c r="N68" i="6"/>
  <c r="N66" i="6"/>
  <c r="N63" i="6"/>
  <c r="N62" i="6"/>
  <c r="N61" i="6"/>
  <c r="N59" i="6"/>
  <c r="N54" i="6"/>
  <c r="N52" i="6"/>
  <c r="N51" i="6"/>
  <c r="N50" i="6"/>
  <c r="N48" i="6"/>
  <c r="N47" i="6"/>
  <c r="N37" i="6"/>
  <c r="N36" i="6"/>
  <c r="N35" i="6"/>
  <c r="N34" i="6"/>
  <c r="N33" i="6"/>
  <c r="N30" i="6"/>
  <c r="N29" i="6"/>
  <c r="AQ37" i="4"/>
  <c r="AC37" i="4"/>
  <c r="AQ34" i="4"/>
  <c r="AC34" i="4"/>
  <c r="AQ33" i="4"/>
  <c r="AC33" i="4"/>
  <c r="AC32" i="4"/>
  <c r="AQ32" i="4"/>
  <c r="AC74" i="4"/>
  <c r="AQ74" i="4"/>
  <c r="C3" i="4"/>
  <c r="O76" i="4"/>
  <c r="AS76" i="4" s="1"/>
  <c r="AC75" i="4"/>
  <c r="AQ75" i="4"/>
  <c r="AS22" i="4"/>
  <c r="AS31" i="4" s="1"/>
  <c r="AS42" i="4" s="1"/>
  <c r="AS60" i="4" s="1"/>
  <c r="AS70" i="4" s="1"/>
  <c r="AR22" i="4"/>
  <c r="AR31" i="4" s="1"/>
  <c r="AR42" i="4" s="1"/>
  <c r="AR60" i="4" s="1"/>
  <c r="AR70" i="4" s="1"/>
  <c r="AQ22" i="4"/>
  <c r="AQ31" i="4" s="1"/>
  <c r="AQ42" i="4" s="1"/>
  <c r="AQ60" i="4" s="1"/>
  <c r="AQ70" i="4" s="1"/>
  <c r="AD22" i="4"/>
  <c r="AD31" i="4" s="1"/>
  <c r="AD42" i="4" s="1"/>
  <c r="AD60" i="4" s="1"/>
  <c r="AD70" i="4" s="1"/>
  <c r="AC22" i="4"/>
  <c r="AC31" i="4" s="1"/>
  <c r="AC42" i="4" s="1"/>
  <c r="AC60" i="4" s="1"/>
  <c r="AC70" i="4" s="1"/>
  <c r="O22" i="4"/>
  <c r="O31" i="4" s="1"/>
  <c r="O42" i="4" s="1"/>
  <c r="O60" i="4" s="1"/>
  <c r="O70" i="4" s="1"/>
  <c r="A68" i="4"/>
  <c r="A65" i="4"/>
  <c r="A64" i="4"/>
  <c r="A62" i="4"/>
  <c r="A44" i="4"/>
  <c r="A43" i="4"/>
  <c r="A32" i="4"/>
  <c r="C2" i="4"/>
  <c r="AC39" i="4"/>
  <c r="AQ39" i="4"/>
  <c r="C25" i="4" l="1"/>
  <c r="C28" i="4"/>
  <c r="C24" i="4"/>
  <c r="C27" i="4"/>
  <c r="C23" i="4"/>
  <c r="C26" i="4"/>
  <c r="C14" i="4"/>
  <c r="C6" i="4"/>
  <c r="C31" i="4" s="1"/>
  <c r="C17" i="4"/>
  <c r="C16" i="4"/>
  <c r="C18" i="4"/>
  <c r="C19" i="4"/>
  <c r="C15" i="4"/>
  <c r="AS32" i="4"/>
  <c r="AC55" i="4"/>
  <c r="AD55" i="4" s="1"/>
  <c r="AS39" i="4"/>
  <c r="AS38" i="4"/>
  <c r="AS34" i="4"/>
  <c r="AS37" i="4"/>
  <c r="AS33" i="4"/>
  <c r="O51" i="4"/>
  <c r="P51" i="4" s="1"/>
  <c r="D3" i="4"/>
  <c r="AC49" i="4"/>
  <c r="AD49" i="4" s="1"/>
  <c r="C79" i="4"/>
  <c r="AC50" i="4"/>
  <c r="AD50" i="4" s="1"/>
  <c r="AC47" i="4"/>
  <c r="AD47" i="4" s="1"/>
  <c r="AQ57" i="4"/>
  <c r="AR57" i="4" s="1"/>
  <c r="AQ51" i="4"/>
  <c r="AR51" i="4" s="1"/>
  <c r="AQ47" i="4"/>
  <c r="AR47" i="4" s="1"/>
  <c r="AQ56" i="4"/>
  <c r="AR56" i="4" s="1"/>
  <c r="AQ48" i="4"/>
  <c r="AR48" i="4" s="1"/>
  <c r="AQ49" i="4"/>
  <c r="AC57" i="4"/>
  <c r="AD57" i="4" s="1"/>
  <c r="AC53" i="4"/>
  <c r="AD53" i="4" s="1"/>
  <c r="AQ50" i="4"/>
  <c r="AR50" i="4" s="1"/>
  <c r="P50" i="4"/>
  <c r="AQ53" i="4"/>
  <c r="AR53" i="4" s="1"/>
  <c r="AQ55" i="4"/>
  <c r="AR55" i="4" s="1"/>
  <c r="O46" i="4"/>
  <c r="P47" i="4"/>
  <c r="P48" i="4"/>
  <c r="P55" i="4"/>
  <c r="O56" i="4"/>
  <c r="AC56" i="4"/>
  <c r="AD56" i="4" s="1"/>
  <c r="AC46" i="4"/>
  <c r="AD46" i="4" s="1"/>
  <c r="AC51" i="4"/>
  <c r="AQ46" i="4"/>
  <c r="AR46" i="4" s="1"/>
  <c r="AC48" i="4"/>
  <c r="AD48" i="4" s="1"/>
  <c r="C22" i="4" l="1"/>
  <c r="AS49" i="4"/>
  <c r="C70" i="4"/>
  <c r="C42" i="4"/>
  <c r="C60" i="4"/>
  <c r="C13" i="4"/>
  <c r="D26" i="4"/>
  <c r="D25" i="4"/>
  <c r="D24" i="4"/>
  <c r="D28" i="4"/>
  <c r="D23" i="4"/>
  <c r="D27" i="4"/>
  <c r="D6" i="4"/>
  <c r="D31" i="4" s="1"/>
  <c r="D14" i="4"/>
  <c r="D18" i="4"/>
  <c r="D15" i="4"/>
  <c r="D19" i="4"/>
  <c r="D17" i="4"/>
  <c r="D16" i="4"/>
  <c r="C20" i="4"/>
  <c r="C43" i="4" s="1"/>
  <c r="D13" i="4"/>
  <c r="E3" i="4"/>
  <c r="AS47" i="4"/>
  <c r="AR49" i="4"/>
  <c r="AS57" i="4"/>
  <c r="AS50" i="4"/>
  <c r="AS55" i="4"/>
  <c r="AS48" i="4"/>
  <c r="AS53" i="4"/>
  <c r="AD51" i="4"/>
  <c r="AS51" i="4"/>
  <c r="P46" i="4"/>
  <c r="AS46" i="4"/>
  <c r="AS56" i="4"/>
  <c r="P56" i="4"/>
  <c r="D42" i="4" l="1"/>
  <c r="D22" i="4"/>
  <c r="D60" i="4"/>
  <c r="D70" i="4"/>
  <c r="D79" i="4"/>
  <c r="E23" i="4"/>
  <c r="E27" i="4"/>
  <c r="E26" i="4"/>
  <c r="E25" i="4"/>
  <c r="E24" i="4"/>
  <c r="E28" i="4"/>
  <c r="D29" i="4"/>
  <c r="F3" i="4"/>
  <c r="F6" i="4" s="1"/>
  <c r="E15" i="4"/>
  <c r="E19" i="4"/>
  <c r="E16" i="4"/>
  <c r="E14" i="4"/>
  <c r="E18" i="4"/>
  <c r="E17" i="4"/>
  <c r="D20" i="4"/>
  <c r="C29" i="4"/>
  <c r="C52" i="4" s="1"/>
  <c r="C44" i="4"/>
  <c r="E6" i="4"/>
  <c r="E79" i="4" s="1"/>
  <c r="C61" i="4"/>
  <c r="C58" i="4" l="1"/>
  <c r="D43" i="4"/>
  <c r="D44" i="4"/>
  <c r="D62" i="4"/>
  <c r="D52" i="4"/>
  <c r="G3" i="4"/>
  <c r="G28" i="4" s="1"/>
  <c r="D61" i="4"/>
  <c r="D71" i="4" s="1"/>
  <c r="F24" i="4"/>
  <c r="F28" i="4"/>
  <c r="F23" i="4"/>
  <c r="F27" i="4"/>
  <c r="F26" i="4"/>
  <c r="F25" i="4"/>
  <c r="E20" i="4"/>
  <c r="F16" i="4"/>
  <c r="F17" i="4"/>
  <c r="F15" i="4"/>
  <c r="F19" i="4"/>
  <c r="F14" i="4"/>
  <c r="F18" i="4"/>
  <c r="E70" i="4"/>
  <c r="E22" i="4"/>
  <c r="E31" i="4"/>
  <c r="E60" i="4"/>
  <c r="E13" i="4"/>
  <c r="E42" i="4"/>
  <c r="O35" i="4"/>
  <c r="AS35" i="4" s="1"/>
  <c r="F22" i="4"/>
  <c r="F31" i="4"/>
  <c r="F13" i="4"/>
  <c r="F70" i="4"/>
  <c r="F79" i="4"/>
  <c r="F42" i="4"/>
  <c r="F60" i="4"/>
  <c r="C71" i="4"/>
  <c r="E44" i="4" l="1"/>
  <c r="E43" i="4"/>
  <c r="D63" i="4"/>
  <c r="G26" i="4"/>
  <c r="G18" i="4"/>
  <c r="G6" i="4"/>
  <c r="G42" i="4" s="1"/>
  <c r="G16" i="4"/>
  <c r="G24" i="4"/>
  <c r="G19" i="4"/>
  <c r="G17" i="4"/>
  <c r="G27" i="4"/>
  <c r="G25" i="4"/>
  <c r="G15" i="4"/>
  <c r="G23" i="4"/>
  <c r="H3" i="4"/>
  <c r="H26" i="4" s="1"/>
  <c r="G14" i="4"/>
  <c r="E29" i="4"/>
  <c r="E52" i="4" s="1"/>
  <c r="F20" i="4"/>
  <c r="E61" i="4"/>
  <c r="C64" i="4"/>
  <c r="C74" i="4"/>
  <c r="C62" i="4"/>
  <c r="F44" i="4" l="1"/>
  <c r="F43" i="4"/>
  <c r="I3" i="4"/>
  <c r="I25" i="4" s="1"/>
  <c r="H6" i="4"/>
  <c r="H31" i="4" s="1"/>
  <c r="G31" i="4"/>
  <c r="G22" i="4"/>
  <c r="G13" i="4"/>
  <c r="G79" i="4"/>
  <c r="H16" i="4"/>
  <c r="H24" i="4"/>
  <c r="D58" i="4"/>
  <c r="D72" i="4" s="1"/>
  <c r="D73" i="4" s="1"/>
  <c r="G70" i="4"/>
  <c r="G60" i="4"/>
  <c r="H14" i="4"/>
  <c r="H18" i="4"/>
  <c r="G20" i="4"/>
  <c r="G29" i="4"/>
  <c r="H19" i="4"/>
  <c r="H28" i="4"/>
  <c r="H25" i="4"/>
  <c r="H15" i="4"/>
  <c r="H27" i="4"/>
  <c r="H17" i="4"/>
  <c r="H23" i="4"/>
  <c r="I26" i="4"/>
  <c r="I15" i="4"/>
  <c r="I16" i="4"/>
  <c r="E71" i="4"/>
  <c r="F29" i="4"/>
  <c r="E62" i="4"/>
  <c r="E63" i="4" s="1"/>
  <c r="F61" i="4"/>
  <c r="H60" i="4"/>
  <c r="H22" i="4"/>
  <c r="I6" i="4"/>
  <c r="O74" i="4"/>
  <c r="AS74" i="4" s="1"/>
  <c r="C75" i="4"/>
  <c r="O75" i="4" s="1"/>
  <c r="AS75" i="4" s="1"/>
  <c r="C63" i="4"/>
  <c r="F62" i="4" l="1"/>
  <c r="F52" i="4"/>
  <c r="I28" i="4"/>
  <c r="I27" i="4"/>
  <c r="I14" i="4"/>
  <c r="I23" i="4"/>
  <c r="G62" i="4"/>
  <c r="G52" i="4"/>
  <c r="I18" i="4"/>
  <c r="I24" i="4"/>
  <c r="I29" i="4" s="1"/>
  <c r="J3" i="4"/>
  <c r="I17" i="4"/>
  <c r="I19" i="4"/>
  <c r="G44" i="4"/>
  <c r="G43" i="4"/>
  <c r="H42" i="4"/>
  <c r="H13" i="4"/>
  <c r="H79" i="4"/>
  <c r="H70" i="4"/>
  <c r="D65" i="4"/>
  <c r="D67" i="4" s="1"/>
  <c r="G61" i="4"/>
  <c r="G71" i="4" s="1"/>
  <c r="H20" i="4"/>
  <c r="H29" i="4"/>
  <c r="J24" i="4"/>
  <c r="J28" i="4"/>
  <c r="J23" i="4"/>
  <c r="J27" i="4"/>
  <c r="J26" i="4"/>
  <c r="J25" i="4"/>
  <c r="J16" i="4"/>
  <c r="J15" i="4"/>
  <c r="J19" i="4"/>
  <c r="J17" i="4"/>
  <c r="J14" i="4"/>
  <c r="J18" i="4"/>
  <c r="F71" i="4"/>
  <c r="F63" i="4"/>
  <c r="H61" i="4"/>
  <c r="I13" i="4"/>
  <c r="I70" i="4"/>
  <c r="I42" i="4"/>
  <c r="I60" i="4"/>
  <c r="I22" i="4"/>
  <c r="I79" i="4"/>
  <c r="I31" i="4"/>
  <c r="J6" i="4"/>
  <c r="K3" i="4"/>
  <c r="I20" i="4" l="1"/>
  <c r="I44" i="4" s="1"/>
  <c r="I62" i="4"/>
  <c r="I52" i="4"/>
  <c r="H62" i="4"/>
  <c r="H63" i="4" s="1"/>
  <c r="H52" i="4"/>
  <c r="H43" i="4"/>
  <c r="H44" i="4"/>
  <c r="G63" i="4"/>
  <c r="G58" i="4"/>
  <c r="K25" i="4"/>
  <c r="K24" i="4"/>
  <c r="K28" i="4"/>
  <c r="K23" i="4"/>
  <c r="K27" i="4"/>
  <c r="K26" i="4"/>
  <c r="K17" i="4"/>
  <c r="K16" i="4"/>
  <c r="K18" i="4"/>
  <c r="K15" i="4"/>
  <c r="K19" i="4"/>
  <c r="K14" i="4"/>
  <c r="H71" i="4"/>
  <c r="J29" i="4"/>
  <c r="J20" i="4"/>
  <c r="J79" i="4"/>
  <c r="J60" i="4"/>
  <c r="J42" i="4"/>
  <c r="J13" i="4"/>
  <c r="J22" i="4"/>
  <c r="J31" i="4"/>
  <c r="J70" i="4"/>
  <c r="K6" i="4"/>
  <c r="L3" i="4"/>
  <c r="I61" i="4" l="1"/>
  <c r="I43" i="4"/>
  <c r="J43" i="4"/>
  <c r="J44" i="4"/>
  <c r="J62" i="4"/>
  <c r="J52" i="4"/>
  <c r="G72" i="4"/>
  <c r="G73" i="4" s="1"/>
  <c r="G65" i="4"/>
  <c r="G67" i="4" s="1"/>
  <c r="L26" i="4"/>
  <c r="L25" i="4"/>
  <c r="L24" i="4"/>
  <c r="L28" i="4"/>
  <c r="L23" i="4"/>
  <c r="L27" i="4"/>
  <c r="K29" i="4"/>
  <c r="K20" i="4"/>
  <c r="E58" i="4"/>
  <c r="L14" i="4"/>
  <c r="L18" i="4"/>
  <c r="L19" i="4"/>
  <c r="L17" i="4"/>
  <c r="L16" i="4"/>
  <c r="L15" i="4"/>
  <c r="F58" i="4"/>
  <c r="J61" i="4"/>
  <c r="I71" i="4"/>
  <c r="I63" i="4"/>
  <c r="K70" i="4"/>
  <c r="K13" i="4"/>
  <c r="K60" i="4"/>
  <c r="K42" i="4"/>
  <c r="K31" i="4"/>
  <c r="K79" i="4"/>
  <c r="K22" i="4"/>
  <c r="L6" i="4"/>
  <c r="M3" i="4"/>
  <c r="D40" i="4"/>
  <c r="D64" i="4" s="1"/>
  <c r="E40" i="4"/>
  <c r="E64" i="4" s="1"/>
  <c r="K44" i="4" l="1"/>
  <c r="K43" i="4"/>
  <c r="K62" i="4"/>
  <c r="K52" i="4"/>
  <c r="M23" i="4"/>
  <c r="M27" i="4"/>
  <c r="M26" i="4"/>
  <c r="M25" i="4"/>
  <c r="M24" i="4"/>
  <c r="M28" i="4"/>
  <c r="I58" i="4"/>
  <c r="I72" i="4" s="1"/>
  <c r="I73" i="4" s="1"/>
  <c r="L29" i="4"/>
  <c r="L20" i="4"/>
  <c r="K61" i="4"/>
  <c r="J71" i="4"/>
  <c r="J63" i="4"/>
  <c r="M15" i="4"/>
  <c r="M19" i="4"/>
  <c r="M14" i="4"/>
  <c r="M18" i="4"/>
  <c r="M17" i="4"/>
  <c r="M16" i="4"/>
  <c r="F65" i="4"/>
  <c r="F67" i="4" s="1"/>
  <c r="F72" i="4"/>
  <c r="F73" i="4" s="1"/>
  <c r="E65" i="4"/>
  <c r="F40" i="4"/>
  <c r="F64" i="4" s="1"/>
  <c r="E72" i="4"/>
  <c r="H58" i="4"/>
  <c r="L13" i="4"/>
  <c r="L60" i="4"/>
  <c r="L42" i="4"/>
  <c r="L79" i="4"/>
  <c r="L22" i="4"/>
  <c r="L31" i="4"/>
  <c r="L70" i="4"/>
  <c r="N3" i="4"/>
  <c r="M6" i="4"/>
  <c r="D66" i="4"/>
  <c r="L62" i="4" l="1"/>
  <c r="L52" i="4"/>
  <c r="L43" i="4"/>
  <c r="L44" i="4"/>
  <c r="J58" i="4"/>
  <c r="I65" i="4"/>
  <c r="I67" i="4" s="1"/>
  <c r="N24" i="4"/>
  <c r="N28" i="4"/>
  <c r="N23" i="4"/>
  <c r="N27" i="4"/>
  <c r="N26" i="4"/>
  <c r="N25" i="4"/>
  <c r="E73" i="4"/>
  <c r="N16" i="4"/>
  <c r="N17" i="4"/>
  <c r="N15" i="4"/>
  <c r="N19" i="4"/>
  <c r="N14" i="4"/>
  <c r="N18" i="4"/>
  <c r="L61" i="4"/>
  <c r="F66" i="4"/>
  <c r="E67" i="4"/>
  <c r="M29" i="4"/>
  <c r="M20" i="4"/>
  <c r="E66" i="4"/>
  <c r="H65" i="4"/>
  <c r="H67" i="4" s="1"/>
  <c r="H72" i="4"/>
  <c r="H73" i="4" s="1"/>
  <c r="K63" i="4"/>
  <c r="K71" i="4"/>
  <c r="N6" i="4"/>
  <c r="Q3" i="4"/>
  <c r="M13" i="4"/>
  <c r="M60" i="4"/>
  <c r="M42" i="4"/>
  <c r="M31" i="4"/>
  <c r="M22" i="4"/>
  <c r="M79" i="4"/>
  <c r="M70" i="4"/>
  <c r="M44" i="4" l="1"/>
  <c r="M43" i="4"/>
  <c r="M62" i="4"/>
  <c r="M52" i="4"/>
  <c r="Q28" i="4"/>
  <c r="Q27" i="4"/>
  <c r="Q26" i="4"/>
  <c r="Q25" i="4"/>
  <c r="Q24" i="4"/>
  <c r="Q23" i="4"/>
  <c r="G40" i="4"/>
  <c r="G64" i="4" s="1"/>
  <c r="G66" i="4" s="1"/>
  <c r="O19" i="4"/>
  <c r="O28" i="4"/>
  <c r="J72" i="4"/>
  <c r="J73" i="4" s="1"/>
  <c r="J65" i="4"/>
  <c r="J67" i="4" s="1"/>
  <c r="O25" i="4"/>
  <c r="O16" i="4"/>
  <c r="Q15" i="4"/>
  <c r="Q14" i="4"/>
  <c r="Q19" i="4"/>
  <c r="Q18" i="4"/>
  <c r="Q17" i="4"/>
  <c r="Q16" i="4"/>
  <c r="O24" i="4"/>
  <c r="O15" i="4"/>
  <c r="M61" i="4"/>
  <c r="N20" i="4"/>
  <c r="O14" i="4"/>
  <c r="L63" i="4"/>
  <c r="L71" i="4"/>
  <c r="O27" i="4"/>
  <c r="O18" i="4"/>
  <c r="O26" i="4"/>
  <c r="O17" i="4"/>
  <c r="R3" i="4"/>
  <c r="Q6" i="4"/>
  <c r="N22" i="4"/>
  <c r="N13" i="4"/>
  <c r="N70" i="4"/>
  <c r="N60" i="4"/>
  <c r="N79" i="4"/>
  <c r="N31" i="4"/>
  <c r="N42" i="4"/>
  <c r="H40" i="4"/>
  <c r="H64" i="4" s="1"/>
  <c r="H66" i="4" s="1"/>
  <c r="N44" i="4" l="1"/>
  <c r="N43" i="4"/>
  <c r="L58" i="4"/>
  <c r="L65" i="4" s="1"/>
  <c r="L67" i="4" s="1"/>
  <c r="R28" i="4"/>
  <c r="R27" i="4"/>
  <c r="R26" i="4"/>
  <c r="R25" i="4"/>
  <c r="R24" i="4"/>
  <c r="R23" i="4"/>
  <c r="P18" i="4"/>
  <c r="K13" i="6" s="1"/>
  <c r="P15" i="4"/>
  <c r="K10" i="6" s="1"/>
  <c r="P19" i="4"/>
  <c r="K14" i="6" s="1"/>
  <c r="O20" i="4"/>
  <c r="P14" i="4"/>
  <c r="K9" i="6" s="1"/>
  <c r="K58" i="4"/>
  <c r="R19" i="4"/>
  <c r="R18" i="4"/>
  <c r="R17" i="4"/>
  <c r="R16" i="4"/>
  <c r="R15" i="4"/>
  <c r="R14" i="4"/>
  <c r="P17" i="4"/>
  <c r="K12" i="6" s="1"/>
  <c r="N29" i="4"/>
  <c r="O23" i="4"/>
  <c r="M71" i="4"/>
  <c r="M63" i="4"/>
  <c r="P25" i="4"/>
  <c r="P27" i="4"/>
  <c r="O44" i="4"/>
  <c r="N61" i="4"/>
  <c r="P24" i="4"/>
  <c r="P16" i="4"/>
  <c r="K11" i="6" s="1"/>
  <c r="P26" i="4"/>
  <c r="Q20" i="4"/>
  <c r="P28" i="4"/>
  <c r="S3" i="4"/>
  <c r="R6" i="4"/>
  <c r="Q42" i="4"/>
  <c r="Q79" i="4"/>
  <c r="Q70" i="4"/>
  <c r="Q13" i="4"/>
  <c r="Q60" i="4"/>
  <c r="Q22" i="4"/>
  <c r="Q31" i="4"/>
  <c r="I40" i="4"/>
  <c r="I64" i="4" s="1"/>
  <c r="I66" i="4" s="1"/>
  <c r="Q44" i="4" l="1"/>
  <c r="Q43" i="4"/>
  <c r="N62" i="4"/>
  <c r="O62" i="4" s="1"/>
  <c r="N52" i="4"/>
  <c r="O52" i="4" s="1"/>
  <c r="L72" i="4"/>
  <c r="L73" i="4" s="1"/>
  <c r="M58" i="4"/>
  <c r="M72" i="4" s="1"/>
  <c r="M73" i="4" s="1"/>
  <c r="K15" i="6"/>
  <c r="S28" i="4"/>
  <c r="S27" i="4"/>
  <c r="S26" i="4"/>
  <c r="S25" i="4"/>
  <c r="S24" i="4"/>
  <c r="S23" i="4"/>
  <c r="Q61" i="4"/>
  <c r="Q29" i="4"/>
  <c r="N71" i="4"/>
  <c r="O71" i="4" s="1"/>
  <c r="O61" i="4"/>
  <c r="K72" i="4"/>
  <c r="K65" i="4"/>
  <c r="P44" i="4"/>
  <c r="J48" i="6" s="1"/>
  <c r="P23" i="4"/>
  <c r="P29" i="4" s="1"/>
  <c r="J50" i="6" s="1"/>
  <c r="O29" i="4"/>
  <c r="R29" i="4"/>
  <c r="R20" i="4"/>
  <c r="P20" i="4"/>
  <c r="D49" i="6" s="1"/>
  <c r="P62" i="4"/>
  <c r="S19" i="4"/>
  <c r="S18" i="4"/>
  <c r="S17" i="4"/>
  <c r="S16" i="4"/>
  <c r="S15" i="4"/>
  <c r="S14" i="4"/>
  <c r="R60" i="4"/>
  <c r="R22" i="4"/>
  <c r="R70" i="4"/>
  <c r="R13" i="4"/>
  <c r="R79" i="4"/>
  <c r="R42" i="4"/>
  <c r="R31" i="4"/>
  <c r="S6" i="4"/>
  <c r="T3" i="4"/>
  <c r="J40" i="4"/>
  <c r="J64" i="4" s="1"/>
  <c r="J66" i="4" s="1"/>
  <c r="N63" i="4" l="1"/>
  <c r="O63" i="4" s="1"/>
  <c r="P63" i="4" s="1"/>
  <c r="R62" i="4"/>
  <c r="R52" i="4"/>
  <c r="P52" i="4"/>
  <c r="J57" i="6" s="1"/>
  <c r="Q62" i="4"/>
  <c r="Q63" i="4" s="1"/>
  <c r="Q52" i="4"/>
  <c r="R43" i="4"/>
  <c r="R44" i="4"/>
  <c r="M65" i="4"/>
  <c r="M67" i="4" s="1"/>
  <c r="N58" i="4"/>
  <c r="T28" i="4"/>
  <c r="T27" i="4"/>
  <c r="T26" i="4"/>
  <c r="T25" i="4"/>
  <c r="T24" i="4"/>
  <c r="T23" i="4"/>
  <c r="D50" i="6"/>
  <c r="K67" i="4"/>
  <c r="P61" i="4"/>
  <c r="T19" i="4"/>
  <c r="T18" i="4"/>
  <c r="T17" i="4"/>
  <c r="T16" i="4"/>
  <c r="T15" i="4"/>
  <c r="T14" i="4"/>
  <c r="S20" i="4"/>
  <c r="D53" i="6"/>
  <c r="D61" i="6"/>
  <c r="D51" i="6"/>
  <c r="D52" i="6"/>
  <c r="D62" i="6"/>
  <c r="D55" i="6"/>
  <c r="D59" i="6"/>
  <c r="D56" i="6"/>
  <c r="D60" i="6"/>
  <c r="D54" i="6"/>
  <c r="D58" i="6"/>
  <c r="K73" i="4"/>
  <c r="P71" i="4"/>
  <c r="Q71" i="4"/>
  <c r="R61" i="4"/>
  <c r="S70" i="4"/>
  <c r="S31" i="4"/>
  <c r="S13" i="4"/>
  <c r="S60" i="4"/>
  <c r="S42" i="4"/>
  <c r="S22" i="4"/>
  <c r="S79" i="4"/>
  <c r="T6" i="4"/>
  <c r="U3" i="4"/>
  <c r="K40" i="4"/>
  <c r="K64" i="4" s="1"/>
  <c r="K66" i="4" s="1"/>
  <c r="S44" i="4" l="1"/>
  <c r="S43" i="4"/>
  <c r="O45" i="4"/>
  <c r="P45" i="4" s="1"/>
  <c r="C72" i="4"/>
  <c r="C73" i="4" s="1"/>
  <c r="C65" i="4"/>
  <c r="O43" i="4"/>
  <c r="N72" i="4"/>
  <c r="N73" i="4" s="1"/>
  <c r="N65" i="4"/>
  <c r="N67" i="4" s="1"/>
  <c r="U28" i="4"/>
  <c r="U27" i="4"/>
  <c r="U26" i="4"/>
  <c r="U25" i="4"/>
  <c r="U24" i="4"/>
  <c r="U23" i="4"/>
  <c r="U19" i="4"/>
  <c r="U18" i="4"/>
  <c r="U17" i="4"/>
  <c r="U16" i="4"/>
  <c r="U15" i="4"/>
  <c r="U14" i="4"/>
  <c r="R71" i="4"/>
  <c r="R63" i="4"/>
  <c r="T20" i="4"/>
  <c r="S61" i="4"/>
  <c r="S29" i="4"/>
  <c r="T22" i="4"/>
  <c r="T70" i="4"/>
  <c r="T13" i="4"/>
  <c r="T79" i="4"/>
  <c r="T60" i="4"/>
  <c r="T42" i="4"/>
  <c r="T31" i="4"/>
  <c r="V3" i="4"/>
  <c r="U6" i="4"/>
  <c r="L40" i="4"/>
  <c r="L64" i="4" s="1"/>
  <c r="L66" i="4" s="1"/>
  <c r="T44" i="4" l="1"/>
  <c r="T43" i="4"/>
  <c r="S62" i="4"/>
  <c r="S63" i="4" s="1"/>
  <c r="S52" i="4"/>
  <c r="O73" i="4"/>
  <c r="P73" i="4" s="1"/>
  <c r="O72" i="4"/>
  <c r="P72" i="4" s="1"/>
  <c r="C66" i="4"/>
  <c r="C68" i="4" s="1"/>
  <c r="C67" i="4"/>
  <c r="C77" i="4"/>
  <c r="D76" i="4" s="1"/>
  <c r="D77" i="4" s="1"/>
  <c r="E76" i="4" s="1"/>
  <c r="E77" i="4" s="1"/>
  <c r="F76" i="4" s="1"/>
  <c r="F77" i="4" s="1"/>
  <c r="G76" i="4" s="1"/>
  <c r="G77" i="4" s="1"/>
  <c r="H76" i="4" s="1"/>
  <c r="H77" i="4" s="1"/>
  <c r="I76" i="4" s="1"/>
  <c r="I77" i="4" s="1"/>
  <c r="J76" i="4" s="1"/>
  <c r="J77" i="4" s="1"/>
  <c r="K76" i="4" s="1"/>
  <c r="K77" i="4" s="1"/>
  <c r="L76" i="4" s="1"/>
  <c r="L77" i="4" s="1"/>
  <c r="M76" i="4" s="1"/>
  <c r="M77" i="4" s="1"/>
  <c r="N76" i="4" s="1"/>
  <c r="N77" i="4" s="1"/>
  <c r="O77" i="4" s="1"/>
  <c r="C82" i="4"/>
  <c r="D82" i="4" s="1"/>
  <c r="E82" i="4" s="1"/>
  <c r="F82" i="4" s="1"/>
  <c r="G82" i="4" s="1"/>
  <c r="H82" i="4" s="1"/>
  <c r="I82" i="4" s="1"/>
  <c r="J82" i="4" s="1"/>
  <c r="K82" i="4" s="1"/>
  <c r="L82" i="4" s="1"/>
  <c r="M82" i="4" s="1"/>
  <c r="N82" i="4" s="1"/>
  <c r="O65" i="4"/>
  <c r="P65" i="4" s="1"/>
  <c r="R58" i="4"/>
  <c r="O58" i="4"/>
  <c r="P43" i="4"/>
  <c r="Q58" i="4"/>
  <c r="V28" i="4"/>
  <c r="V27" i="4"/>
  <c r="V26" i="4"/>
  <c r="V25" i="4"/>
  <c r="V24" i="4"/>
  <c r="V23" i="4"/>
  <c r="V19" i="4"/>
  <c r="V18" i="4"/>
  <c r="V17" i="4"/>
  <c r="V16" i="4"/>
  <c r="V15" i="4"/>
  <c r="V14" i="4"/>
  <c r="S71" i="4"/>
  <c r="T29" i="4"/>
  <c r="T61" i="4"/>
  <c r="U20" i="4"/>
  <c r="U22" i="4"/>
  <c r="U79" i="4"/>
  <c r="U70" i="4"/>
  <c r="U60" i="4"/>
  <c r="U13" i="4"/>
  <c r="U31" i="4"/>
  <c r="U42" i="4"/>
  <c r="W3" i="4"/>
  <c r="V6" i="4"/>
  <c r="M40" i="4"/>
  <c r="M64" i="4" s="1"/>
  <c r="M66" i="4" s="1"/>
  <c r="U43" i="4" l="1"/>
  <c r="U44" i="4"/>
  <c r="T62" i="4"/>
  <c r="T63" i="4" s="1"/>
  <c r="T52" i="4"/>
  <c r="Q76" i="4"/>
  <c r="AC76" i="4" s="1"/>
  <c r="C90" i="4"/>
  <c r="D90" i="4" s="1"/>
  <c r="E90" i="4" s="1"/>
  <c r="F90" i="4" s="1"/>
  <c r="G90" i="4" s="1"/>
  <c r="H90" i="4" s="1"/>
  <c r="I90" i="4" s="1"/>
  <c r="J90" i="4" s="1"/>
  <c r="K90" i="4" s="1"/>
  <c r="L90" i="4" s="1"/>
  <c r="M90" i="4" s="1"/>
  <c r="N90" i="4" s="1"/>
  <c r="Q90" i="4" s="1"/>
  <c r="R90" i="4" s="1"/>
  <c r="S90" i="4" s="1"/>
  <c r="T90" i="4" s="1"/>
  <c r="U90" i="4" s="1"/>
  <c r="V90" i="4" s="1"/>
  <c r="W90" i="4" s="1"/>
  <c r="X90" i="4" s="1"/>
  <c r="Y90" i="4" s="1"/>
  <c r="Z90" i="4" s="1"/>
  <c r="AA90" i="4" s="1"/>
  <c r="AB90" i="4" s="1"/>
  <c r="AE90" i="4" s="1"/>
  <c r="AF90" i="4" s="1"/>
  <c r="AG90" i="4" s="1"/>
  <c r="AH90" i="4" s="1"/>
  <c r="AI90" i="4" s="1"/>
  <c r="AJ90" i="4" s="1"/>
  <c r="AK90" i="4" s="1"/>
  <c r="AL90" i="4" s="1"/>
  <c r="AM90" i="4" s="1"/>
  <c r="AN90" i="4" s="1"/>
  <c r="AO90" i="4" s="1"/>
  <c r="AP90" i="4" s="1"/>
  <c r="O67" i="4"/>
  <c r="P67" i="4" s="1"/>
  <c r="D66" i="6" s="1"/>
  <c r="C89" i="4"/>
  <c r="D68" i="4"/>
  <c r="R72" i="4"/>
  <c r="R73" i="4" s="1"/>
  <c r="R65" i="4"/>
  <c r="R67" i="4" s="1"/>
  <c r="J47" i="6"/>
  <c r="J63" i="6" s="1"/>
  <c r="P58" i="4"/>
  <c r="W28" i="4"/>
  <c r="W27" i="4"/>
  <c r="W26" i="4"/>
  <c r="W25" i="4"/>
  <c r="W24" i="4"/>
  <c r="W23" i="4"/>
  <c r="U29" i="4"/>
  <c r="U61" i="4"/>
  <c r="W19" i="4"/>
  <c r="W18" i="4"/>
  <c r="W17" i="4"/>
  <c r="W16" i="4"/>
  <c r="W15" i="4"/>
  <c r="W14" i="4"/>
  <c r="T71" i="4"/>
  <c r="Q72" i="4"/>
  <c r="Q65" i="4"/>
  <c r="V20" i="4"/>
  <c r="W6" i="4"/>
  <c r="X3" i="4"/>
  <c r="V70" i="4"/>
  <c r="V22" i="4"/>
  <c r="V13" i="4"/>
  <c r="V79" i="4"/>
  <c r="V60" i="4"/>
  <c r="V31" i="4"/>
  <c r="V42" i="4"/>
  <c r="V44" i="4" l="1"/>
  <c r="V43" i="4"/>
  <c r="U62" i="4"/>
  <c r="U63" i="4" s="1"/>
  <c r="U52" i="4"/>
  <c r="D89" i="4"/>
  <c r="E68" i="4"/>
  <c r="D47" i="6"/>
  <c r="D63" i="6" s="1"/>
  <c r="X28" i="4"/>
  <c r="X27" i="4"/>
  <c r="X26" i="4"/>
  <c r="X25" i="4"/>
  <c r="X24" i="4"/>
  <c r="X23" i="4"/>
  <c r="S58" i="4"/>
  <c r="T58" i="4"/>
  <c r="T72" i="4" s="1"/>
  <c r="T73" i="4" s="1"/>
  <c r="Q67" i="4"/>
  <c r="V61" i="4"/>
  <c r="Q73" i="4"/>
  <c r="W20" i="4"/>
  <c r="U71" i="4"/>
  <c r="V29" i="4"/>
  <c r="X19" i="4"/>
  <c r="X18" i="4"/>
  <c r="X17" i="4"/>
  <c r="X16" i="4"/>
  <c r="X15" i="4"/>
  <c r="X14" i="4"/>
  <c r="Y3" i="4"/>
  <c r="X6" i="4"/>
  <c r="W13" i="4"/>
  <c r="W60" i="4"/>
  <c r="W42" i="4"/>
  <c r="W22" i="4"/>
  <c r="W79" i="4"/>
  <c r="W31" i="4"/>
  <c r="W70" i="4"/>
  <c r="N40" i="4"/>
  <c r="N64" i="4" s="1"/>
  <c r="V62" i="4" l="1"/>
  <c r="V52" i="4"/>
  <c r="W44" i="4"/>
  <c r="W43" i="4"/>
  <c r="E89" i="4"/>
  <c r="F68" i="4"/>
  <c r="T65" i="4"/>
  <c r="T67" i="4" s="1"/>
  <c r="Y28" i="4"/>
  <c r="Y27" i="4"/>
  <c r="Y26" i="4"/>
  <c r="Y25" i="4"/>
  <c r="Y24" i="4"/>
  <c r="Y23" i="4"/>
  <c r="Y15" i="4"/>
  <c r="Y14" i="4"/>
  <c r="Y19" i="4"/>
  <c r="Y18" i="4"/>
  <c r="Y17" i="4"/>
  <c r="Y16" i="4"/>
  <c r="W61" i="4"/>
  <c r="W29" i="4"/>
  <c r="Q77" i="4"/>
  <c r="R76" i="4" s="1"/>
  <c r="R77" i="4" s="1"/>
  <c r="S76" i="4" s="1"/>
  <c r="Q82" i="4"/>
  <c r="R82" i="4" s="1"/>
  <c r="X20" i="4"/>
  <c r="V63" i="4"/>
  <c r="V71" i="4"/>
  <c r="S72" i="4"/>
  <c r="S65" i="4"/>
  <c r="X42" i="4"/>
  <c r="X22" i="4"/>
  <c r="X60" i="4"/>
  <c r="X13" i="4"/>
  <c r="X70" i="4"/>
  <c r="X79" i="4"/>
  <c r="X31" i="4"/>
  <c r="Y6" i="4"/>
  <c r="Z3" i="4"/>
  <c r="N66" i="4"/>
  <c r="O64" i="4"/>
  <c r="R40" i="4"/>
  <c r="R64" i="4" s="1"/>
  <c r="R66" i="4" s="1"/>
  <c r="Q40" i="4"/>
  <c r="Q64" i="4" s="1"/>
  <c r="O40" i="4"/>
  <c r="X44" i="4" l="1"/>
  <c r="X43" i="4"/>
  <c r="W62" i="4"/>
  <c r="W52" i="4"/>
  <c r="F89" i="4"/>
  <c r="G68" i="4"/>
  <c r="Z28" i="4"/>
  <c r="Z27" i="4"/>
  <c r="Z26" i="4"/>
  <c r="Z25" i="4"/>
  <c r="Z24" i="4"/>
  <c r="Z23" i="4"/>
  <c r="V58" i="4"/>
  <c r="V72" i="4" s="1"/>
  <c r="V73" i="4" s="1"/>
  <c r="U58" i="4"/>
  <c r="Z19" i="4"/>
  <c r="Z18" i="4"/>
  <c r="Z17" i="4"/>
  <c r="Z16" i="4"/>
  <c r="Z15" i="4"/>
  <c r="Z14" i="4"/>
  <c r="X61" i="4"/>
  <c r="Y20" i="4"/>
  <c r="S67" i="4"/>
  <c r="S73" i="4"/>
  <c r="S77" i="4" s="1"/>
  <c r="T76" i="4" s="1"/>
  <c r="T77" i="4" s="1"/>
  <c r="U76" i="4" s="1"/>
  <c r="X29" i="4"/>
  <c r="W71" i="4"/>
  <c r="W63" i="4"/>
  <c r="Z6" i="4"/>
  <c r="AA3" i="4"/>
  <c r="Y79" i="4"/>
  <c r="Y42" i="4"/>
  <c r="Y22" i="4"/>
  <c r="Y13" i="4"/>
  <c r="Y60" i="4"/>
  <c r="Y70" i="4"/>
  <c r="Y31" i="4"/>
  <c r="Q66" i="4"/>
  <c r="O66" i="4"/>
  <c r="S40" i="4"/>
  <c r="S64" i="4" s="1"/>
  <c r="S66" i="4" s="1"/>
  <c r="Y44" i="4" l="1"/>
  <c r="Y43" i="4"/>
  <c r="X62" i="4"/>
  <c r="X63" i="4" s="1"/>
  <c r="X52" i="4"/>
  <c r="G89" i="4"/>
  <c r="H68" i="4"/>
  <c r="V65" i="4"/>
  <c r="V67" i="4" s="1"/>
  <c r="AA28" i="4"/>
  <c r="AA27" i="4"/>
  <c r="AA26" i="4"/>
  <c r="AA25" i="4"/>
  <c r="AA24" i="4"/>
  <c r="AA23" i="4"/>
  <c r="Y61" i="4"/>
  <c r="X71" i="4"/>
  <c r="S82" i="4"/>
  <c r="T82" i="4" s="1"/>
  <c r="Y29" i="4"/>
  <c r="AA19" i="4"/>
  <c r="AA18" i="4"/>
  <c r="AA17" i="4"/>
  <c r="AA16" i="4"/>
  <c r="AA15" i="4"/>
  <c r="AA14" i="4"/>
  <c r="Z29" i="4"/>
  <c r="Z20" i="4"/>
  <c r="U72" i="4"/>
  <c r="U65" i="4"/>
  <c r="AA6" i="4"/>
  <c r="AB3" i="4"/>
  <c r="Z70" i="4"/>
  <c r="Z31" i="4"/>
  <c r="Z22" i="4"/>
  <c r="Z79" i="4"/>
  <c r="Z42" i="4"/>
  <c r="Z13" i="4"/>
  <c r="Z60" i="4"/>
  <c r="P66" i="4"/>
  <c r="T40" i="4"/>
  <c r="T64" i="4" s="1"/>
  <c r="T66" i="4" s="1"/>
  <c r="Z43" i="4" l="1"/>
  <c r="Z44" i="4"/>
  <c r="Y62" i="4"/>
  <c r="Y63" i="4" s="1"/>
  <c r="Y52" i="4"/>
  <c r="Z62" i="4"/>
  <c r="Z52" i="4"/>
  <c r="H89" i="4"/>
  <c r="I68" i="4"/>
  <c r="W58" i="4"/>
  <c r="AB28" i="4"/>
  <c r="AB27" i="4"/>
  <c r="AB26" i="4"/>
  <c r="AB25" i="4"/>
  <c r="AB24" i="4"/>
  <c r="AB23" i="4"/>
  <c r="AB19" i="4"/>
  <c r="AB18" i="4"/>
  <c r="AB17" i="4"/>
  <c r="AB16" i="4"/>
  <c r="AB15" i="4"/>
  <c r="AB14" i="4"/>
  <c r="U73" i="4"/>
  <c r="U82" i="4" s="1"/>
  <c r="V82" i="4" s="1"/>
  <c r="AA29" i="4"/>
  <c r="AA20" i="4"/>
  <c r="Y71" i="4"/>
  <c r="Z61" i="4"/>
  <c r="U67" i="4"/>
  <c r="X58" i="4"/>
  <c r="AE3" i="4"/>
  <c r="AB6" i="4"/>
  <c r="AA79" i="4"/>
  <c r="AA22" i="4"/>
  <c r="AA13" i="4"/>
  <c r="AA31" i="4"/>
  <c r="AA70" i="4"/>
  <c r="AA60" i="4"/>
  <c r="AA42" i="4"/>
  <c r="AA44" i="4" l="1"/>
  <c r="AA43" i="4"/>
  <c r="AA62" i="4"/>
  <c r="AA52" i="4"/>
  <c r="I89" i="4"/>
  <c r="J68" i="4"/>
  <c r="Y58" i="4"/>
  <c r="Y65" i="4" s="1"/>
  <c r="Y67" i="4" s="1"/>
  <c r="AE28" i="4"/>
  <c r="AE27" i="4"/>
  <c r="AE26" i="4"/>
  <c r="AE25" i="4"/>
  <c r="AE24" i="4"/>
  <c r="AE23" i="4"/>
  <c r="AA61" i="4"/>
  <c r="AB20" i="4"/>
  <c r="AC14" i="4"/>
  <c r="AC27" i="4"/>
  <c r="AC18" i="4"/>
  <c r="AC24" i="4"/>
  <c r="AC15" i="4"/>
  <c r="AC28" i="4"/>
  <c r="AC19" i="4"/>
  <c r="AE19" i="4"/>
  <c r="AE18" i="4"/>
  <c r="AE17" i="4"/>
  <c r="AE16" i="4"/>
  <c r="AE15" i="4"/>
  <c r="AE14" i="4"/>
  <c r="Z71" i="4"/>
  <c r="Z63" i="4"/>
  <c r="AC25" i="4"/>
  <c r="AC16" i="4"/>
  <c r="X72" i="4"/>
  <c r="X73" i="4" s="1"/>
  <c r="X65" i="4"/>
  <c r="X67" i="4" s="1"/>
  <c r="W72" i="4"/>
  <c r="W65" i="4"/>
  <c r="U77" i="4"/>
  <c r="V76" i="4" s="1"/>
  <c r="V77" i="4" s="1"/>
  <c r="W76" i="4" s="1"/>
  <c r="AC26" i="4"/>
  <c r="AC17" i="4"/>
  <c r="AF3" i="4"/>
  <c r="AE6" i="4"/>
  <c r="AB42" i="4"/>
  <c r="AB31" i="4"/>
  <c r="AB70" i="4"/>
  <c r="AB22" i="4"/>
  <c r="AB13" i="4"/>
  <c r="AB79" i="4"/>
  <c r="AB60" i="4"/>
  <c r="U40" i="4"/>
  <c r="U64" i="4" s="1"/>
  <c r="V40" i="4"/>
  <c r="V64" i="4" s="1"/>
  <c r="V66" i="4" s="1"/>
  <c r="AB44" i="4" l="1"/>
  <c r="AC44" i="4" s="1"/>
  <c r="AB43" i="4"/>
  <c r="Y72" i="4"/>
  <c r="Y73" i="4" s="1"/>
  <c r="J89" i="4"/>
  <c r="K68" i="4"/>
  <c r="Z58" i="4"/>
  <c r="Z72" i="4" s="1"/>
  <c r="Z73" i="4" s="1"/>
  <c r="AF28" i="4"/>
  <c r="AF27" i="4"/>
  <c r="AF26" i="4"/>
  <c r="AF25" i="4"/>
  <c r="AF24" i="4"/>
  <c r="AF23" i="4"/>
  <c r="AD17" i="4"/>
  <c r="AD28" i="4"/>
  <c r="AD27" i="4"/>
  <c r="AD26" i="4"/>
  <c r="W67" i="4"/>
  <c r="AD15" i="4"/>
  <c r="AC20" i="4"/>
  <c r="AD14" i="4"/>
  <c r="AA71" i="4"/>
  <c r="AA63" i="4"/>
  <c r="W73" i="4"/>
  <c r="W77" i="4" s="1"/>
  <c r="X76" i="4" s="1"/>
  <c r="X77" i="4" s="1"/>
  <c r="Y76" i="4" s="1"/>
  <c r="Y77" i="4" s="1"/>
  <c r="Z76" i="4" s="1"/>
  <c r="AD16" i="4"/>
  <c r="AD24" i="4"/>
  <c r="AC45" i="4"/>
  <c r="AB61" i="4"/>
  <c r="AF19" i="4"/>
  <c r="AF18" i="4"/>
  <c r="AF17" i="4"/>
  <c r="AF16" i="4"/>
  <c r="AF15" i="4"/>
  <c r="AF14" i="4"/>
  <c r="AD25" i="4"/>
  <c r="AE20" i="4"/>
  <c r="AD19" i="4"/>
  <c r="AD18" i="4"/>
  <c r="AB29" i="4"/>
  <c r="AC23" i="4"/>
  <c r="AE79" i="4"/>
  <c r="AE13" i="4"/>
  <c r="AE60" i="4"/>
  <c r="AE22" i="4"/>
  <c r="AE70" i="4"/>
  <c r="AE42" i="4"/>
  <c r="AE31" i="4"/>
  <c r="AG3" i="4"/>
  <c r="AF6" i="4"/>
  <c r="U66" i="4"/>
  <c r="W40" i="4"/>
  <c r="W64" i="4" s="1"/>
  <c r="W66" i="4" s="1"/>
  <c r="AB62" i="4" l="1"/>
  <c r="AC62" i="4" s="1"/>
  <c r="AD62" i="4" s="1"/>
  <c r="AB52" i="4"/>
  <c r="AC52" i="4" s="1"/>
  <c r="AE44" i="4"/>
  <c r="AE43" i="4"/>
  <c r="K89" i="4"/>
  <c r="L68" i="4"/>
  <c r="AA58" i="4"/>
  <c r="Z77" i="4"/>
  <c r="AA76" i="4" s="1"/>
  <c r="AG28" i="4"/>
  <c r="AG27" i="4"/>
  <c r="AG26" i="4"/>
  <c r="AG25" i="4"/>
  <c r="AG24" i="4"/>
  <c r="AG23" i="4"/>
  <c r="Z65" i="4"/>
  <c r="Z67" i="4" s="1"/>
  <c r="AG19" i="4"/>
  <c r="AG18" i="4"/>
  <c r="AG17" i="4"/>
  <c r="AG16" i="4"/>
  <c r="AG15" i="4"/>
  <c r="AG14" i="4"/>
  <c r="AE29" i="4"/>
  <c r="AF29" i="4"/>
  <c r="AF20" i="4"/>
  <c r="AD23" i="4"/>
  <c r="AD29" i="4" s="1"/>
  <c r="AC29" i="4"/>
  <c r="AD45" i="4"/>
  <c r="AE61" i="4"/>
  <c r="AD44" i="4"/>
  <c r="W82" i="4"/>
  <c r="X82" i="4" s="1"/>
  <c r="Y82" i="4" s="1"/>
  <c r="Z82" i="4" s="1"/>
  <c r="AD20" i="4"/>
  <c r="AB71" i="4"/>
  <c r="AC71" i="4" s="1"/>
  <c r="AC61" i="4"/>
  <c r="AF13" i="4"/>
  <c r="AF31" i="4"/>
  <c r="AF22" i="4"/>
  <c r="AF79" i="4"/>
  <c r="AF42" i="4"/>
  <c r="AF60" i="4"/>
  <c r="AF70" i="4"/>
  <c r="AG6" i="4"/>
  <c r="AH3" i="4"/>
  <c r="X40" i="4"/>
  <c r="X64" i="4" s="1"/>
  <c r="X66" i="4" s="1"/>
  <c r="AB63" i="4" l="1"/>
  <c r="AC63" i="4" s="1"/>
  <c r="AF62" i="4"/>
  <c r="AF52" i="4"/>
  <c r="AE62" i="4"/>
  <c r="AE52" i="4"/>
  <c r="AD52" i="4"/>
  <c r="AF44" i="4"/>
  <c r="AF43" i="4"/>
  <c r="L89" i="4"/>
  <c r="M68" i="4"/>
  <c r="AA65" i="4"/>
  <c r="AA67" i="4" s="1"/>
  <c r="AA72" i="4"/>
  <c r="AA73" i="4" s="1"/>
  <c r="AA82" i="4" s="1"/>
  <c r="AH28" i="4"/>
  <c r="AH27" i="4"/>
  <c r="AH26" i="4"/>
  <c r="AH25" i="4"/>
  <c r="AH24" i="4"/>
  <c r="AH23" i="4"/>
  <c r="AH19" i="4"/>
  <c r="AH18" i="4"/>
  <c r="AH17" i="4"/>
  <c r="AH16" i="4"/>
  <c r="AH15" i="4"/>
  <c r="AH14" i="4"/>
  <c r="AD63" i="4"/>
  <c r="AD61" i="4"/>
  <c r="AE71" i="4"/>
  <c r="AE63" i="4"/>
  <c r="AF61" i="4"/>
  <c r="AG20" i="4"/>
  <c r="AD71" i="4"/>
  <c r="AH6" i="4"/>
  <c r="AI3" i="4"/>
  <c r="AG42" i="4"/>
  <c r="AG60" i="4"/>
  <c r="AG79" i="4"/>
  <c r="AG31" i="4"/>
  <c r="AG22" i="4"/>
  <c r="AG70" i="4"/>
  <c r="AG13" i="4"/>
  <c r="Y40" i="4"/>
  <c r="Y64" i="4" s="1"/>
  <c r="Y66" i="4" s="1"/>
  <c r="AG44" i="4" l="1"/>
  <c r="AG43" i="4"/>
  <c r="M89" i="4"/>
  <c r="N68" i="4"/>
  <c r="AA77" i="4"/>
  <c r="AB76" i="4" s="1"/>
  <c r="AB58" i="4"/>
  <c r="AI28" i="4"/>
  <c r="AI27" i="4"/>
  <c r="AI26" i="4"/>
  <c r="AI25" i="4"/>
  <c r="AI24" i="4"/>
  <c r="AI23" i="4"/>
  <c r="AE58" i="4"/>
  <c r="AI19" i="4"/>
  <c r="AI14" i="4"/>
  <c r="AI18" i="4"/>
  <c r="AI17" i="4"/>
  <c r="AI16" i="4"/>
  <c r="AI15" i="4"/>
  <c r="AG61" i="4"/>
  <c r="AF71" i="4"/>
  <c r="AF63" i="4"/>
  <c r="AG29" i="4"/>
  <c r="AC43" i="4"/>
  <c r="AH29" i="4"/>
  <c r="AH20" i="4"/>
  <c r="AI6" i="4"/>
  <c r="AJ3" i="4"/>
  <c r="AH42" i="4"/>
  <c r="AH60" i="4"/>
  <c r="AH31" i="4"/>
  <c r="AH13" i="4"/>
  <c r="AH22" i="4"/>
  <c r="AH79" i="4"/>
  <c r="AH70" i="4"/>
  <c r="Z40" i="4"/>
  <c r="Z64" i="4" s="1"/>
  <c r="Z66" i="4" s="1"/>
  <c r="AH44" i="4" l="1"/>
  <c r="AH43" i="4"/>
  <c r="AG62" i="4"/>
  <c r="AG63" i="4" s="1"/>
  <c r="AG52" i="4"/>
  <c r="AH62" i="4"/>
  <c r="AH52" i="4"/>
  <c r="Q68" i="4"/>
  <c r="N89" i="4"/>
  <c r="O68" i="4"/>
  <c r="AF58" i="4"/>
  <c r="AJ28" i="4"/>
  <c r="AJ27" i="4"/>
  <c r="AJ26" i="4"/>
  <c r="AJ25" i="4"/>
  <c r="AJ24" i="4"/>
  <c r="AJ23" i="4"/>
  <c r="AG71" i="4"/>
  <c r="AJ19" i="4"/>
  <c r="AJ18" i="4"/>
  <c r="AJ17" i="4"/>
  <c r="AJ16" i="4"/>
  <c r="AJ15" i="4"/>
  <c r="AJ14" i="4"/>
  <c r="AD43" i="4"/>
  <c r="AC58" i="4"/>
  <c r="AE65" i="4"/>
  <c r="AE72" i="4"/>
  <c r="AI29" i="4"/>
  <c r="AI20" i="4"/>
  <c r="AB72" i="4"/>
  <c r="AB65" i="4"/>
  <c r="AH61" i="4"/>
  <c r="AI79" i="4"/>
  <c r="AI42" i="4"/>
  <c r="AI60" i="4"/>
  <c r="AI13" i="4"/>
  <c r="AI70" i="4"/>
  <c r="AI22" i="4"/>
  <c r="AI31" i="4"/>
  <c r="AK3" i="4"/>
  <c r="AJ6" i="4"/>
  <c r="AA40" i="4"/>
  <c r="AA64" i="4" s="1"/>
  <c r="AA66" i="4" s="1"/>
  <c r="AI44" i="4" l="1"/>
  <c r="AI43" i="4"/>
  <c r="AI62" i="4"/>
  <c r="AI52" i="4"/>
  <c r="Q89" i="4"/>
  <c r="R68" i="4"/>
  <c r="AF65" i="4"/>
  <c r="AF67" i="4" s="1"/>
  <c r="AF72" i="4"/>
  <c r="AF73" i="4" s="1"/>
  <c r="AK28" i="4"/>
  <c r="AK27" i="4"/>
  <c r="AK26" i="4"/>
  <c r="AK25" i="4"/>
  <c r="AK24" i="4"/>
  <c r="AK23" i="4"/>
  <c r="AK19" i="4"/>
  <c r="AK18" i="4"/>
  <c r="AK17" i="4"/>
  <c r="AK16" i="4"/>
  <c r="AK15" i="4"/>
  <c r="AK14" i="4"/>
  <c r="AH63" i="4"/>
  <c r="AH71" i="4"/>
  <c r="AJ20" i="4"/>
  <c r="AB73" i="4"/>
  <c r="AC72" i="4"/>
  <c r="AE73" i="4"/>
  <c r="AD58" i="4"/>
  <c r="AE67" i="4"/>
  <c r="AB67" i="4"/>
  <c r="AC65" i="4"/>
  <c r="AI61" i="4"/>
  <c r="AK6" i="4"/>
  <c r="AL3" i="4"/>
  <c r="AJ31" i="4"/>
  <c r="AJ22" i="4"/>
  <c r="AJ60" i="4"/>
  <c r="AJ70" i="4"/>
  <c r="AJ13" i="4"/>
  <c r="AJ79" i="4"/>
  <c r="AJ42" i="4"/>
  <c r="AJ43" i="4" l="1"/>
  <c r="AJ44" i="4"/>
  <c r="R89" i="4"/>
  <c r="S68" i="4"/>
  <c r="AH58" i="4"/>
  <c r="AL28" i="4"/>
  <c r="AL27" i="4"/>
  <c r="AL26" i="4"/>
  <c r="AL25" i="4"/>
  <c r="AL24" i="4"/>
  <c r="AL23" i="4"/>
  <c r="AG58" i="4"/>
  <c r="AC67" i="4"/>
  <c r="AD67" i="4" s="1"/>
  <c r="D68" i="6" s="1"/>
  <c r="AJ61" i="4"/>
  <c r="AI71" i="4"/>
  <c r="AI63" i="4"/>
  <c r="AJ29" i="4"/>
  <c r="AD72" i="4"/>
  <c r="AK20" i="4"/>
  <c r="AL19" i="4"/>
  <c r="AL18" i="4"/>
  <c r="AL17" i="4"/>
  <c r="AL16" i="4"/>
  <c r="AL15" i="4"/>
  <c r="AL14" i="4"/>
  <c r="AD65" i="4"/>
  <c r="AC73" i="4"/>
  <c r="AB82" i="4"/>
  <c r="AE82" i="4" s="1"/>
  <c r="AF82" i="4" s="1"/>
  <c r="AB77" i="4"/>
  <c r="AL6" i="4"/>
  <c r="AM3" i="4"/>
  <c r="AK22" i="4"/>
  <c r="AK31" i="4"/>
  <c r="AK13" i="4"/>
  <c r="AK70" i="4"/>
  <c r="AK79" i="4"/>
  <c r="AK42" i="4"/>
  <c r="AK60" i="4"/>
  <c r="AB40" i="4"/>
  <c r="AB64" i="4" s="1"/>
  <c r="AJ62" i="4" l="1"/>
  <c r="AJ63" i="4" s="1"/>
  <c r="AJ52" i="4"/>
  <c r="AK44" i="4"/>
  <c r="AK43" i="4"/>
  <c r="S89" i="4"/>
  <c r="T68" i="4"/>
  <c r="AH72" i="4"/>
  <c r="AH73" i="4" s="1"/>
  <c r="AI58" i="4"/>
  <c r="AI72" i="4" s="1"/>
  <c r="AI73" i="4" s="1"/>
  <c r="AH65" i="4"/>
  <c r="AH67" i="4" s="1"/>
  <c r="AM28" i="4"/>
  <c r="AM27" i="4"/>
  <c r="AM26" i="4"/>
  <c r="AM25" i="4"/>
  <c r="AM24" i="4"/>
  <c r="AM23" i="4"/>
  <c r="AL20" i="4"/>
  <c r="AK29" i="4"/>
  <c r="AD73" i="4"/>
  <c r="AJ71" i="4"/>
  <c r="AG65" i="4"/>
  <c r="AG72" i="4"/>
  <c r="AM18" i="4"/>
  <c r="AM17" i="4"/>
  <c r="AM16" i="4"/>
  <c r="AM15" i="4"/>
  <c r="AM19" i="4"/>
  <c r="AM14" i="4"/>
  <c r="AC77" i="4"/>
  <c r="AE76" i="4"/>
  <c r="AK61" i="4"/>
  <c r="AM6" i="4"/>
  <c r="AN3" i="4"/>
  <c r="AL70" i="4"/>
  <c r="AL60" i="4"/>
  <c r="AL42" i="4"/>
  <c r="AL13" i="4"/>
  <c r="AL79" i="4"/>
  <c r="AL22" i="4"/>
  <c r="AL31" i="4"/>
  <c r="AB66" i="4"/>
  <c r="AC64" i="4"/>
  <c r="AF40" i="4"/>
  <c r="AF64" i="4" s="1"/>
  <c r="AF66" i="4" s="1"/>
  <c r="AE40" i="4"/>
  <c r="AE64" i="4" s="1"/>
  <c r="AC40" i="4"/>
  <c r="AL44" i="4" l="1"/>
  <c r="AL43" i="4"/>
  <c r="AK62" i="4"/>
  <c r="AK63" i="4" s="1"/>
  <c r="AK52" i="4"/>
  <c r="T89" i="4"/>
  <c r="U68" i="4"/>
  <c r="AI65" i="4"/>
  <c r="AI67" i="4" s="1"/>
  <c r="AN28" i="4"/>
  <c r="AN27" i="4"/>
  <c r="AN26" i="4"/>
  <c r="AN25" i="4"/>
  <c r="AN24" i="4"/>
  <c r="AN23" i="4"/>
  <c r="AG73" i="4"/>
  <c r="AN19" i="4"/>
  <c r="AN18" i="4"/>
  <c r="AN17" i="4"/>
  <c r="AN16" i="4"/>
  <c r="AN15" i="4"/>
  <c r="AN14" i="4"/>
  <c r="AK71" i="4"/>
  <c r="AQ76" i="4"/>
  <c r="AE77" i="4"/>
  <c r="AF76" i="4" s="1"/>
  <c r="AF77" i="4" s="1"/>
  <c r="AG76" i="4" s="1"/>
  <c r="AG67" i="4"/>
  <c r="AL61" i="4"/>
  <c r="AM29" i="4"/>
  <c r="AM20" i="4"/>
  <c r="AL29" i="4"/>
  <c r="AO3" i="4"/>
  <c r="AN6" i="4"/>
  <c r="AM60" i="4"/>
  <c r="AM22" i="4"/>
  <c r="AM31" i="4"/>
  <c r="AM79" i="4"/>
  <c r="AM13" i="4"/>
  <c r="AM70" i="4"/>
  <c r="AM42" i="4"/>
  <c r="AE66" i="4"/>
  <c r="AC66" i="4"/>
  <c r="AG40" i="4"/>
  <c r="AG64" i="4" s="1"/>
  <c r="AG66" i="4" s="1"/>
  <c r="AM44" i="4" l="1"/>
  <c r="AM43" i="4"/>
  <c r="AM62" i="4"/>
  <c r="AM52" i="4"/>
  <c r="AL62" i="4"/>
  <c r="AL52" i="4"/>
  <c r="U89" i="4"/>
  <c r="V68" i="4"/>
  <c r="AG77" i="4"/>
  <c r="AH76" i="4" s="1"/>
  <c r="AH77" i="4" s="1"/>
  <c r="AI76" i="4" s="1"/>
  <c r="AI77" i="4" s="1"/>
  <c r="AJ76" i="4" s="1"/>
  <c r="AK58" i="4"/>
  <c r="AK65" i="4" s="1"/>
  <c r="AK67" i="4" s="1"/>
  <c r="AO28" i="4"/>
  <c r="AO27" i="4"/>
  <c r="AO26" i="4"/>
  <c r="AO25" i="4"/>
  <c r="AO24" i="4"/>
  <c r="AO23" i="4"/>
  <c r="AM61" i="4"/>
  <c r="AL71" i="4"/>
  <c r="AL63" i="4"/>
  <c r="AG82" i="4"/>
  <c r="AH82" i="4" s="1"/>
  <c r="AI82" i="4" s="1"/>
  <c r="AO19" i="4"/>
  <c r="AO18" i="4"/>
  <c r="AO17" i="4"/>
  <c r="AO16" i="4"/>
  <c r="AO15" i="4"/>
  <c r="AO14" i="4"/>
  <c r="AN29" i="4"/>
  <c r="AN20" i="4"/>
  <c r="AN31" i="4"/>
  <c r="AN42" i="4"/>
  <c r="AN70" i="4"/>
  <c r="AN13" i="4"/>
  <c r="AN22" i="4"/>
  <c r="AN79" i="4"/>
  <c r="AN60" i="4"/>
  <c r="AO6" i="4"/>
  <c r="AP3" i="4"/>
  <c r="AD66" i="4"/>
  <c r="AN44" i="4" l="1"/>
  <c r="AN43" i="4"/>
  <c r="AN62" i="4"/>
  <c r="AN52" i="4"/>
  <c r="V89" i="4"/>
  <c r="W68" i="4"/>
  <c r="AK72" i="4"/>
  <c r="AK73" i="4" s="1"/>
  <c r="AP28" i="4"/>
  <c r="AP27" i="4"/>
  <c r="AP26" i="4"/>
  <c r="AP25" i="4"/>
  <c r="AP24" i="4"/>
  <c r="AP23" i="4"/>
  <c r="AJ58" i="4"/>
  <c r="AP6" i="4"/>
  <c r="AP60" i="4" s="1"/>
  <c r="AP19" i="4"/>
  <c r="AP18" i="4"/>
  <c r="AP17" i="4"/>
  <c r="AP16" i="4"/>
  <c r="AP15" i="4"/>
  <c r="AP14" i="4"/>
  <c r="AM63" i="4"/>
  <c r="AM71" i="4"/>
  <c r="AO29" i="4"/>
  <c r="AO20" i="4"/>
  <c r="AN61" i="4"/>
  <c r="AO79" i="4"/>
  <c r="AO31" i="4"/>
  <c r="AO13" i="4"/>
  <c r="AO42" i="4"/>
  <c r="AO60" i="4"/>
  <c r="AO70" i="4"/>
  <c r="AO22" i="4"/>
  <c r="AH40" i="4"/>
  <c r="AH64" i="4" s="1"/>
  <c r="AI40" i="4"/>
  <c r="AI64" i="4" s="1"/>
  <c r="AI66" i="4" s="1"/>
  <c r="AO62" i="4" l="1"/>
  <c r="AO52" i="4"/>
  <c r="AP42" i="4"/>
  <c r="AO44" i="4"/>
  <c r="AO43" i="4"/>
  <c r="X68" i="4"/>
  <c r="W89" i="4"/>
  <c r="AP79" i="4"/>
  <c r="AP31" i="4"/>
  <c r="AM58" i="4"/>
  <c r="AL58" i="4"/>
  <c r="AL65" i="4" s="1"/>
  <c r="AL67" i="4" s="1"/>
  <c r="AP13" i="4"/>
  <c r="AP70" i="4"/>
  <c r="AP22" i="4"/>
  <c r="AQ25" i="4"/>
  <c r="AQ16" i="4"/>
  <c r="AQ24" i="4"/>
  <c r="AQ15" i="4"/>
  <c r="AQ26" i="4"/>
  <c r="AQ17" i="4"/>
  <c r="AQ28" i="4"/>
  <c r="AQ19" i="4"/>
  <c r="AO61" i="4"/>
  <c r="AN63" i="4"/>
  <c r="AN71" i="4"/>
  <c r="AP20" i="4"/>
  <c r="AQ14" i="4"/>
  <c r="AQ27" i="4"/>
  <c r="AQ18" i="4"/>
  <c r="AJ65" i="4"/>
  <c r="AJ72" i="4"/>
  <c r="AH66" i="4"/>
  <c r="AJ40" i="4"/>
  <c r="AJ64" i="4" s="1"/>
  <c r="AP44" i="4" l="1"/>
  <c r="AP43" i="4"/>
  <c r="Y68" i="4"/>
  <c r="X89" i="4"/>
  <c r="AL72" i="4"/>
  <c r="AL73" i="4" s="1"/>
  <c r="AM72" i="4"/>
  <c r="AM73" i="4" s="1"/>
  <c r="AM65" i="4"/>
  <c r="AM67" i="4" s="1"/>
  <c r="AJ66" i="4"/>
  <c r="AN58" i="4"/>
  <c r="AP29" i="4"/>
  <c r="AQ23" i="4"/>
  <c r="AR15" i="4"/>
  <c r="AS15" i="4"/>
  <c r="AJ73" i="4"/>
  <c r="AR27" i="4"/>
  <c r="AS27" i="4"/>
  <c r="AO63" i="4"/>
  <c r="AO71" i="4"/>
  <c r="AR24" i="4"/>
  <c r="AS24" i="4"/>
  <c r="AR16" i="4"/>
  <c r="AS16" i="4"/>
  <c r="AR18" i="4"/>
  <c r="AS18" i="4"/>
  <c r="AR28" i="4"/>
  <c r="AS28" i="4"/>
  <c r="AJ67" i="4"/>
  <c r="AQ20" i="4"/>
  <c r="AR14" i="4"/>
  <c r="AS14" i="4"/>
  <c r="AR17" i="4"/>
  <c r="AS17" i="4"/>
  <c r="AR25" i="4"/>
  <c r="AS25" i="4"/>
  <c r="AQ45" i="4"/>
  <c r="AP61" i="4"/>
  <c r="AQ44" i="4"/>
  <c r="AR19" i="4"/>
  <c r="AS19" i="4"/>
  <c r="AR26" i="4"/>
  <c r="AS26" i="4"/>
  <c r="AP62" i="4" l="1"/>
  <c r="AQ62" i="4" s="1"/>
  <c r="AR62" i="4" s="1"/>
  <c r="AP52" i="4"/>
  <c r="AQ52" i="4" s="1"/>
  <c r="Z68" i="4"/>
  <c r="Y89" i="4"/>
  <c r="AO58" i="4"/>
  <c r="AO72" i="4" s="1"/>
  <c r="AO73" i="4" s="1"/>
  <c r="AN72" i="4"/>
  <c r="AN73" i="4" s="1"/>
  <c r="AN65" i="4"/>
  <c r="AN67" i="4" s="1"/>
  <c r="AR45" i="4"/>
  <c r="AS45" i="4"/>
  <c r="AS20" i="4"/>
  <c r="AR44" i="4"/>
  <c r="AS44" i="4"/>
  <c r="AR20" i="4"/>
  <c r="AR23" i="4"/>
  <c r="AR29" i="4" s="1"/>
  <c r="AQ29" i="4"/>
  <c r="AS23" i="4"/>
  <c r="AS29" i="4" s="1"/>
  <c r="AP63" i="4"/>
  <c r="AQ63" i="4" s="1"/>
  <c r="AP71" i="4"/>
  <c r="AQ71" i="4" s="1"/>
  <c r="AQ61" i="4"/>
  <c r="AJ77" i="4"/>
  <c r="AK76" i="4" s="1"/>
  <c r="AK77" i="4" s="1"/>
  <c r="AL76" i="4" s="1"/>
  <c r="AL77" i="4" s="1"/>
  <c r="AM76" i="4" s="1"/>
  <c r="AM77" i="4" s="1"/>
  <c r="AN76" i="4" s="1"/>
  <c r="AJ82" i="4"/>
  <c r="AK82" i="4" s="1"/>
  <c r="AL82" i="4" s="1"/>
  <c r="AM82" i="4" s="1"/>
  <c r="AS62" i="4"/>
  <c r="AL40" i="4"/>
  <c r="AL64" i="4" s="1"/>
  <c r="AL66" i="4" s="1"/>
  <c r="AK40" i="4"/>
  <c r="AK64" i="4" s="1"/>
  <c r="AR52" i="4" l="1"/>
  <c r="AS52" i="4"/>
  <c r="AA68" i="4"/>
  <c r="Z89" i="4"/>
  <c r="AN77" i="4"/>
  <c r="AO76" i="4" s="1"/>
  <c r="AO77" i="4" s="1"/>
  <c r="AP76" i="4" s="1"/>
  <c r="AO65" i="4"/>
  <c r="AO67" i="4" s="1"/>
  <c r="AN82" i="4"/>
  <c r="AO82" i="4" s="1"/>
  <c r="AR61" i="4"/>
  <c r="AS61" i="4"/>
  <c r="AR71" i="4"/>
  <c r="AS71" i="4"/>
  <c r="AR63" i="4"/>
  <c r="AS63" i="4"/>
  <c r="AK66" i="4"/>
  <c r="AM40" i="4"/>
  <c r="AM64" i="4" s="1"/>
  <c r="AM66" i="4" s="1"/>
  <c r="AA89" i="4" l="1"/>
  <c r="AB68" i="4"/>
  <c r="AQ43" i="4"/>
  <c r="AR43" i="4" s="1"/>
  <c r="AR58" i="4" s="1"/>
  <c r="AP58" i="4"/>
  <c r="AN40" i="4"/>
  <c r="AN64" i="4" s="1"/>
  <c r="AN66" i="4" s="1"/>
  <c r="AB89" i="4" l="1"/>
  <c r="AC68" i="4"/>
  <c r="AE68" i="4"/>
  <c r="AS43" i="4"/>
  <c r="AS58" i="4" s="1"/>
  <c r="AP65" i="4"/>
  <c r="AQ65" i="4" s="1"/>
  <c r="AQ58" i="4"/>
  <c r="AP72" i="4"/>
  <c r="AP73" i="4" s="1"/>
  <c r="AO40" i="4"/>
  <c r="AO64" i="4" s="1"/>
  <c r="AO66" i="4" s="1"/>
  <c r="AF68" i="4" l="1"/>
  <c r="AE89" i="4"/>
  <c r="AQ72" i="4"/>
  <c r="AR72" i="4" s="1"/>
  <c r="AP67" i="4"/>
  <c r="AQ67" i="4" s="1"/>
  <c r="AR67" i="4" s="1"/>
  <c r="D70" i="6" s="1"/>
  <c r="AQ73" i="4"/>
  <c r="AP82" i="4"/>
  <c r="B84" i="4" s="1"/>
  <c r="AP77" i="4"/>
  <c r="AQ77" i="4" s="1"/>
  <c r="AS77" i="4" s="1"/>
  <c r="AR65" i="4"/>
  <c r="AS65" i="4"/>
  <c r="AF89" i="4" l="1"/>
  <c r="AG68" i="4"/>
  <c r="AS90" i="4"/>
  <c r="AS72" i="4"/>
  <c r="AR73" i="4"/>
  <c r="AS73" i="4"/>
  <c r="AP40" i="4"/>
  <c r="AP64" i="4" s="1"/>
  <c r="AG89" i="4" l="1"/>
  <c r="AH68" i="4"/>
  <c r="AP66" i="4"/>
  <c r="AQ64" i="4"/>
  <c r="AS64" i="4" s="1"/>
  <c r="AQ40" i="4"/>
  <c r="AS40" i="4" s="1"/>
  <c r="B85" i="4" s="1"/>
  <c r="AI68" i="4" l="1"/>
  <c r="AH89" i="4"/>
  <c r="AQ66" i="4"/>
  <c r="AI89" i="4" l="1"/>
  <c r="AJ68" i="4"/>
  <c r="AR66" i="4"/>
  <c r="AS66" i="4"/>
  <c r="AS92" i="4" s="1"/>
  <c r="B87" i="4" s="1"/>
  <c r="D72" i="6" s="1"/>
  <c r="AJ89" i="4" l="1"/>
  <c r="AK68" i="4"/>
  <c r="AL68" i="4" l="1"/>
  <c r="AK89" i="4"/>
  <c r="AM68" i="4" l="1"/>
  <c r="AL89" i="4"/>
  <c r="AM89" i="4" l="1"/>
  <c r="AN68" i="4"/>
  <c r="AN89" i="4" l="1"/>
  <c r="AO68" i="4"/>
  <c r="AO89" i="4" l="1"/>
  <c r="AP68" i="4"/>
  <c r="AP89" i="4" l="1"/>
  <c r="AS89" i="4" s="1"/>
  <c r="AS91" i="4" s="1"/>
  <c r="B86" i="4" s="1"/>
  <c r="AQ68" i="4"/>
  <c r="D74" i="6" l="1"/>
  <c r="D2" i="4"/>
</calcChain>
</file>

<file path=xl/sharedStrings.xml><?xml version="1.0" encoding="utf-8"?>
<sst xmlns="http://schemas.openxmlformats.org/spreadsheetml/2006/main" count="162" uniqueCount="130">
  <si>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</si>
  <si>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</si>
  <si>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</si>
  <si>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</si>
  <si>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</si>
  <si>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</si>
  <si>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</si>
  <si>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</si>
  <si>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ДИНАМИКА СЕБЕСТОИМОСТИ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</si>
  <si>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</si>
  <si>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</si>
  <si>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</si>
  <si>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</si>
  <si>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</si>
  <si>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</si>
  <si>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</si>
  <si>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</si>
  <si>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</si>
  <si>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</si>
  <si>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</si>
  <si>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</si>
  <si>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</si>
  <si>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Коэффициент дисконтирования</t>
  </si>
  <si>
    <t>Индекс прибыльности проекта (PI)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</si>
  <si>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</si>
  <si>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</si>
  <si>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</si>
  <si>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</si>
  <si>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</si>
  <si>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</si>
  <si>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</si>
  <si>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</si>
  <si>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</si>
  <si>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</si>
  <si>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</si>
  <si>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</si>
  <si>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</si>
  <si>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</si>
  <si>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</si>
  <si>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</si>
  <si>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</si>
  <si>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</si>
  <si>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</si>
  <si>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</si>
  <si>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</si>
  <si>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</si>
  <si>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</si>
  <si>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</si>
  <si>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</si>
  <si>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</si>
  <si>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Хозяйственные нужды</t>
  </si>
  <si>
    <t>Финансовые параметры</t>
  </si>
  <si>
    <t>март</t>
  </si>
  <si>
    <t>апрель</t>
  </si>
  <si>
    <t>май</t>
  </si>
  <si>
    <t>ИТОГО:</t>
  </si>
  <si>
    <t>Инвестиции в открытие</t>
  </si>
  <si>
    <t>Аренда</t>
  </si>
  <si>
    <t>Коммунальные платежи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</si>
  <si>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</si>
  <si>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</si>
  <si>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</si>
  <si>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Срок окупаемости проекта с учетом инвестиций в товар, мес.:</t>
  </si>
  <si>
    <t>UAH</t>
  </si>
  <si>
    <t>USD</t>
  </si>
  <si>
    <t>EUR</t>
  </si>
  <si>
    <t>RUB</t>
  </si>
  <si>
    <t>Персонал</t>
  </si>
  <si>
    <t>Должностные единицы</t>
  </si>
  <si>
    <t>Количество, чел.</t>
  </si>
  <si>
    <t>Сервисное обслуживание техники и оборудования</t>
  </si>
  <si>
    <t>Услуги связи и интернет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</si>
  <si>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</si>
  <si>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</si>
  <si>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Группы товаров/услуг</t>
  </si>
  <si>
    <t>Охрана</t>
  </si>
  <si>
    <t>Себестоимость</t>
  </si>
  <si>
    <t>Офисные расходы</t>
  </si>
  <si>
    <t>Удельный вес в объеме выручки за 1-й год работы</t>
  </si>
  <si>
    <t>Налоги</t>
  </si>
  <si>
    <t>июнь</t>
  </si>
  <si>
    <t>Базовый размер бонуса, % от базы начисления*</t>
  </si>
  <si>
    <t>Выход продаж на плановые показатели и дальнейший рост объемов*</t>
  </si>
  <si>
    <t>Рост цен на реализуемые товары*</t>
  </si>
  <si>
    <t>Рост арендной платы*</t>
  </si>
  <si>
    <t>Рост заработной платы (фиксированного оклада)*</t>
  </si>
  <si>
    <t xml:space="preserve"> * - процент от данных, указанных на странице "Исходные данные".</t>
  </si>
  <si>
    <t>Охранно-пожарная сигнализация и видеонаблюдение</t>
  </si>
  <si>
    <t>Местная реклама (билборд, печатная продукция и т.д.)</t>
  </si>
  <si>
    <t>Транспортные расходы</t>
  </si>
  <si>
    <t>от общей выручки</t>
  </si>
  <si>
    <t>Маркетинговое сопровождение</t>
  </si>
  <si>
    <t>Ремонт помещения</t>
  </si>
  <si>
    <t>Вывеска и реклама</t>
  </si>
  <si>
    <t>общая выручка</t>
  </si>
  <si>
    <t xml:space="preserve"> * - база начисления бонуса</t>
  </si>
  <si>
    <t>Роялти</t>
  </si>
  <si>
    <t>Банковское обслуживание</t>
  </si>
  <si>
    <t>ИНВЕСТИЦИИ</t>
  </si>
  <si>
    <t>Управляющий</t>
  </si>
  <si>
    <t>Финансовая модель франшизы "Усиленные Теплицы"</t>
  </si>
  <si>
    <t>Франчайзинговый пакет</t>
  </si>
  <si>
    <t>Теплицы</t>
  </si>
  <si>
    <t>Монтаж</t>
  </si>
  <si>
    <t>Гроутенты</t>
  </si>
  <si>
    <t>Бани-бочки</t>
  </si>
  <si>
    <t>Размер наценки для каждой группы товаров*, %</t>
  </si>
  <si>
    <t xml:space="preserve"> * - указывается размер наценки по отношению к средней стоимости групп товаров (без учета надбавки на цену в сезонные месяцы).
 ** - с учетом динамики выхода продаж на плановые показатели и дальнейшего роста объемов продаж, которая указывается на странице "Детальный расчет".</t>
  </si>
  <si>
    <t>Надбавка к цене в сезонные месяцы,%</t>
  </si>
  <si>
    <t>апрель-июнь</t>
  </si>
  <si>
    <t>июль-сентябрь</t>
  </si>
  <si>
    <t>План реализации в зависимости от месяца в году</t>
  </si>
  <si>
    <t>План реализации в зависимости от месяца в году, ед.</t>
  </si>
  <si>
    <t>Название франчайзингового пакета</t>
  </si>
  <si>
    <t>Онлайн</t>
  </si>
  <si>
    <t>Базовый</t>
  </si>
  <si>
    <t>Оптима</t>
  </si>
  <si>
    <t>Под ключ</t>
  </si>
  <si>
    <t>Франчайзинговые пакеты франшизы 
"Усиленные Теплицы"</t>
  </si>
  <si>
    <t>Офисная мебель</t>
  </si>
  <si>
    <t>Офисная техника</t>
  </si>
  <si>
    <t>Компьютеры</t>
  </si>
  <si>
    <t>Паушальный взнос*</t>
  </si>
  <si>
    <t xml:space="preserve"> * - размер паушального взноса в зависимости от франчайзингового пакета указывается на странице "Франчайзинговые пакеты".</t>
  </si>
  <si>
    <t>Доп. оборудование для теплиц</t>
  </si>
  <si>
    <t>доп. Оборудование для теплиц</t>
  </si>
  <si>
    <t>Менеджер</t>
  </si>
  <si>
    <t>от себестоимости товаров</t>
  </si>
  <si>
    <t>Среднемесячная сумма затрат за 1-й год работы</t>
  </si>
  <si>
    <t>Сотовый поликарбонат (доп.)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</si>
</sst>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#,##0_ ;[Red]\-#,##0\ "/>
    <numFmt numFmtId="168" formatCode="#,##0_ ;\-#,##0\ 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indexed="9"/>
      <name val="Arial Cyr"/>
      <charset val="204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260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9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1" fillId="3" borderId="0" xfId="3" applyFont="1" applyFill="1" applyBorder="1" applyAlignment="1">
      <alignment vertical="center"/>
    </xf>
    <xf numFmtId="0" fontId="11" fillId="3" borderId="0" xfId="3" applyFont="1" applyFill="1" applyBorder="1" applyAlignment="1">
      <alignment vertical="center" wrapText="1"/>
    </xf>
    <xf numFmtId="0" fontId="12" fillId="3" borderId="0" xfId="3" applyFont="1" applyFill="1" applyBorder="1" applyAlignment="1">
      <alignment vertical="center" wrapText="1"/>
    </xf>
    <xf numFmtId="0" fontId="10" fillId="3" borderId="0" xfId="3" applyFont="1" applyFill="1"/>
    <xf numFmtId="0" fontId="10" fillId="0" borderId="0" xfId="3" applyFont="1"/>
    <xf numFmtId="0" fontId="13" fillId="0" borderId="0" xfId="3" applyFont="1"/>
    <xf numFmtId="0" fontId="14" fillId="4" borderId="6" xfId="3" applyFont="1" applyFill="1" applyBorder="1" applyAlignment="1">
      <alignment vertical="center"/>
    </xf>
    <xf numFmtId="0" fontId="14" fillId="4" borderId="6" xfId="3" applyFont="1" applyFill="1" applyBorder="1" applyAlignment="1">
      <alignment horizontal="center" vertical="center"/>
    </xf>
    <xf numFmtId="165" fontId="15" fillId="4" borderId="6" xfId="3" applyNumberFormat="1" applyFont="1" applyFill="1" applyBorder="1" applyAlignment="1">
      <alignment horizontal="center" vertical="center"/>
    </xf>
    <xf numFmtId="0" fontId="13" fillId="0" borderId="0" xfId="3" applyFont="1" applyBorder="1" applyAlignment="1">
      <alignment horizontal="left" vertical="center" wrapText="1"/>
    </xf>
    <xf numFmtId="0" fontId="14" fillId="4" borderId="6" xfId="0" applyFont="1" applyFill="1" applyBorder="1" applyAlignment="1">
      <alignment vertical="center"/>
    </xf>
    <xf numFmtId="0" fontId="14" fillId="4" borderId="6" xfId="0" applyFont="1" applyFill="1" applyBorder="1" applyAlignment="1">
      <alignment horizontal="center" vertical="center"/>
    </xf>
    <xf numFmtId="0" fontId="13" fillId="0" borderId="0" xfId="0" applyFont="1"/>
    <xf numFmtId="0" fontId="13" fillId="5" borderId="0" xfId="0" applyFont="1" applyFill="1" applyBorder="1" applyAlignment="1">
      <alignment horizontal="left" vertical="center"/>
    </xf>
    <xf numFmtId="0" fontId="13" fillId="5" borderId="0" xfId="0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vertical="center"/>
    </xf>
    <xf numFmtId="9" fontId="13" fillId="0" borderId="0" xfId="4" applyFont="1" applyFill="1"/>
    <xf numFmtId="0" fontId="13" fillId="0" borderId="0" xfId="0" applyFont="1" applyFill="1"/>
    <xf numFmtId="0" fontId="18" fillId="0" borderId="7" xfId="0" applyFont="1" applyFill="1" applyBorder="1" applyAlignment="1">
      <alignment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vertical="center"/>
    </xf>
    <xf numFmtId="3" fontId="13" fillId="5" borderId="0" xfId="0" applyNumberFormat="1" applyFont="1" applyFill="1" applyBorder="1" applyAlignment="1">
      <alignment vertical="center"/>
    </xf>
    <xf numFmtId="3" fontId="13" fillId="0" borderId="0" xfId="4" applyNumberFormat="1" applyFont="1"/>
    <xf numFmtId="3" fontId="13" fillId="0" borderId="0" xfId="0" applyNumberFormat="1" applyFont="1"/>
    <xf numFmtId="3" fontId="13" fillId="0" borderId="0" xfId="0" applyNumberFormat="1" applyFont="1" applyFill="1" applyBorder="1" applyAlignment="1">
      <alignment vertical="center"/>
    </xf>
    <xf numFmtId="3" fontId="13" fillId="0" borderId="0" xfId="4" applyNumberFormat="1" applyFont="1" applyFill="1"/>
    <xf numFmtId="3" fontId="13" fillId="0" borderId="0" xfId="0" applyNumberFormat="1" applyFont="1" applyFill="1"/>
    <xf numFmtId="0" fontId="18" fillId="0" borderId="0" xfId="0" applyFont="1" applyFill="1" applyBorder="1" applyAlignment="1">
      <alignment vertical="center"/>
    </xf>
    <xf numFmtId="0" fontId="13" fillId="0" borderId="0" xfId="3" applyFont="1" applyBorder="1" applyAlignment="1">
      <alignment horizontal="center" vertical="center"/>
    </xf>
    <xf numFmtId="0" fontId="13" fillId="0" borderId="0" xfId="3" applyFont="1" applyBorder="1" applyAlignment="1">
      <alignment vertical="center"/>
    </xf>
    <xf numFmtId="4" fontId="13" fillId="0" borderId="0" xfId="3" applyNumberFormat="1" applyFont="1" applyFill="1" applyBorder="1" applyAlignment="1">
      <alignment vertical="center"/>
    </xf>
    <xf numFmtId="0" fontId="13" fillId="0" borderId="0" xfId="3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3" fontId="13" fillId="0" borderId="0" xfId="0" applyNumberFormat="1" applyFont="1" applyFill="1" applyBorder="1" applyAlignment="1">
      <alignment horizontal="left" vertical="center"/>
    </xf>
    <xf numFmtId="0" fontId="21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center"/>
    </xf>
    <xf numFmtId="10" fontId="16" fillId="0" borderId="0" xfId="0" applyNumberFormat="1" applyFont="1" applyBorder="1" applyAlignment="1">
      <alignment vertical="center"/>
    </xf>
    <xf numFmtId="166" fontId="13" fillId="0" borderId="0" xfId="0" applyNumberFormat="1" applyFont="1" applyFill="1" applyBorder="1" applyAlignment="1">
      <alignment horizontal="left" vertical="center"/>
    </xf>
    <xf numFmtId="166" fontId="13" fillId="0" borderId="0" xfId="0" applyNumberFormat="1" applyFont="1"/>
    <xf numFmtId="166" fontId="13" fillId="0" borderId="0" xfId="0" applyNumberFormat="1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/>
    <xf numFmtId="3" fontId="19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vertical="center"/>
    </xf>
    <xf numFmtId="0" fontId="19" fillId="0" borderId="0" xfId="0" applyFont="1"/>
    <xf numFmtId="4" fontId="18" fillId="0" borderId="0" xfId="0" applyNumberFormat="1" applyFont="1"/>
    <xf numFmtId="0" fontId="22" fillId="0" borderId="0" xfId="0" applyFont="1"/>
    <xf numFmtId="0" fontId="21" fillId="0" borderId="0" xfId="0" applyFont="1"/>
    <xf numFmtId="0" fontId="23" fillId="3" borderId="0" xfId="3" applyFont="1" applyFill="1" applyBorder="1" applyAlignment="1">
      <alignment horizontal="left" vertical="center"/>
    </xf>
    <xf numFmtId="9" fontId="13" fillId="5" borderId="0" xfId="0" applyNumberFormat="1" applyFont="1" applyFill="1" applyBorder="1" applyAlignment="1">
      <alignment horizontal="left" vertical="center"/>
    </xf>
    <xf numFmtId="9" fontId="13" fillId="0" borderId="0" xfId="0" applyNumberFormat="1" applyFont="1" applyFill="1" applyBorder="1" applyAlignment="1">
      <alignment horizontal="left" vertical="center"/>
    </xf>
    <xf numFmtId="0" fontId="13" fillId="6" borderId="0" xfId="3" applyFont="1" applyFill="1" applyBorder="1" applyAlignment="1">
      <alignment horizontal="center" vertical="center"/>
    </xf>
    <xf numFmtId="0" fontId="13" fillId="6" borderId="0" xfId="3" applyFont="1" applyFill="1"/>
    <xf numFmtId="0" fontId="24" fillId="0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left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/>
    <xf numFmtId="3" fontId="13" fillId="6" borderId="0" xfId="0" applyNumberFormat="1" applyFont="1" applyFill="1" applyBorder="1" applyAlignment="1">
      <alignment horizontal="left" vertical="center"/>
    </xf>
    <xf numFmtId="3" fontId="13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0" fillId="0" borderId="0" xfId="3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10" fontId="27" fillId="0" borderId="0" xfId="2" applyNumberFormat="1" applyFont="1"/>
    <xf numFmtId="0" fontId="26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28" fillId="0" borderId="0" xfId="0" applyFont="1" applyAlignment="1">
      <alignment vertical="center"/>
    </xf>
    <xf numFmtId="0" fontId="27" fillId="6" borderId="0" xfId="0" applyFont="1" applyFill="1" applyProtection="1">
      <protection locked="0"/>
    </xf>
    <xf numFmtId="0" fontId="30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 indent="1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4" fillId="6" borderId="0" xfId="0" applyFont="1" applyFill="1" applyAlignment="1">
      <alignment vertical="center"/>
    </xf>
    <xf numFmtId="0" fontId="27" fillId="0" borderId="0" xfId="0" applyFont="1"/>
    <xf numFmtId="0" fontId="0" fillId="6" borderId="0" xfId="0" applyFill="1" applyBorder="1"/>
    <xf numFmtId="0" fontId="32" fillId="0" borderId="0" xfId="0" applyFont="1"/>
    <xf numFmtId="9" fontId="9" fillId="0" borderId="0" xfId="2" applyFont="1" applyBorder="1" applyAlignment="1">
      <alignment horizontal="left" vertical="center"/>
    </xf>
    <xf numFmtId="3" fontId="8" fillId="6" borderId="0" xfId="1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9" fontId="8" fillId="6" borderId="0" xfId="2" applyFont="1" applyFill="1" applyBorder="1" applyAlignment="1">
      <alignment vertical="center"/>
    </xf>
    <xf numFmtId="9" fontId="13" fillId="2" borderId="0" xfId="3" applyNumberFormat="1" applyFont="1" applyFill="1" applyBorder="1" applyAlignment="1">
      <alignment horizontal="center" vertical="center"/>
    </xf>
    <xf numFmtId="9" fontId="13" fillId="6" borderId="0" xfId="3" applyNumberFormat="1" applyFont="1" applyFill="1" applyBorder="1" applyAlignment="1">
      <alignment horizontal="center" vertical="center"/>
    </xf>
    <xf numFmtId="0" fontId="13" fillId="6" borderId="0" xfId="3" applyFont="1" applyFill="1" applyBorder="1" applyAlignment="1">
      <alignment horizontal="left" vertical="center"/>
    </xf>
    <xf numFmtId="0" fontId="33" fillId="0" borderId="0" xfId="3" applyFont="1"/>
    <xf numFmtId="0" fontId="13" fillId="6" borderId="0" xfId="3" applyFont="1" applyFill="1" applyBorder="1"/>
    <xf numFmtId="0" fontId="10" fillId="6" borderId="0" xfId="3" applyFont="1" applyFill="1" applyBorder="1"/>
    <xf numFmtId="0" fontId="14" fillId="4" borderId="9" xfId="0" applyFont="1" applyFill="1" applyBorder="1" applyAlignment="1">
      <alignment horizontal="center" vertical="center"/>
    </xf>
    <xf numFmtId="0" fontId="14" fillId="4" borderId="9" xfId="3" applyFont="1" applyFill="1" applyBorder="1" applyAlignment="1">
      <alignment horizontal="center" vertical="center"/>
    </xf>
    <xf numFmtId="0" fontId="35" fillId="0" borderId="0" xfId="0" applyFont="1"/>
    <xf numFmtId="0" fontId="35" fillId="0" borderId="0" xfId="0" applyFont="1" applyAlignment="1">
      <alignment vertical="center"/>
    </xf>
    <xf numFmtId="3" fontId="18" fillId="0" borderId="7" xfId="0" applyNumberFormat="1" applyFont="1" applyFill="1" applyBorder="1" applyAlignment="1">
      <alignment vertical="center"/>
    </xf>
    <xf numFmtId="3" fontId="0" fillId="0" borderId="0" xfId="0" applyNumberFormat="1"/>
    <xf numFmtId="0" fontId="19" fillId="0" borderId="0" xfId="0" applyFont="1" applyFill="1" applyBorder="1" applyAlignment="1">
      <alignment horizontal="right"/>
    </xf>
    <xf numFmtId="0" fontId="19" fillId="0" borderId="0" xfId="0" applyFont="1" applyAlignment="1">
      <alignment horizontal="right"/>
    </xf>
    <xf numFmtId="1" fontId="19" fillId="0" borderId="1" xfId="0" applyNumberFormat="1" applyFont="1" applyFill="1" applyBorder="1"/>
    <xf numFmtId="0" fontId="14" fillId="4" borderId="6" xfId="0" applyFont="1" applyFill="1" applyBorder="1" applyAlignment="1">
      <alignment horizontal="center" vertical="center" wrapText="1"/>
    </xf>
    <xf numFmtId="0" fontId="2" fillId="0" borderId="0" xfId="0" applyFont="1"/>
    <xf numFmtId="0" fontId="36" fillId="3" borderId="0" xfId="3" applyFont="1" applyFill="1"/>
    <xf numFmtId="0" fontId="36" fillId="0" borderId="0" xfId="3" applyFont="1"/>
    <xf numFmtId="9" fontId="19" fillId="2" borderId="0" xfId="3" applyNumberFormat="1" applyFont="1" applyFill="1" applyBorder="1" applyAlignment="1">
      <alignment horizontal="center" vertical="center"/>
    </xf>
    <xf numFmtId="0" fontId="37" fillId="0" borderId="0" xfId="3" applyFont="1"/>
    <xf numFmtId="0" fontId="36" fillId="6" borderId="0" xfId="3" applyFont="1" applyFill="1" applyBorder="1"/>
    <xf numFmtId="0" fontId="38" fillId="4" borderId="9" xfId="3" applyFont="1" applyFill="1" applyBorder="1" applyAlignment="1">
      <alignment horizontal="center" vertical="center" wrapText="1"/>
    </xf>
    <xf numFmtId="0" fontId="19" fillId="0" borderId="0" xfId="3" applyFont="1"/>
    <xf numFmtId="0" fontId="38" fillId="4" borderId="9" xfId="0" applyFont="1" applyFill="1" applyBorder="1" applyAlignment="1">
      <alignment horizontal="center" vertical="center" wrapText="1"/>
    </xf>
    <xf numFmtId="3" fontId="19" fillId="5" borderId="0" xfId="0" applyNumberFormat="1" applyFont="1" applyFill="1" applyBorder="1" applyAlignment="1">
      <alignment vertical="center"/>
    </xf>
    <xf numFmtId="0" fontId="38" fillId="4" borderId="6" xfId="0" applyFont="1" applyFill="1" applyBorder="1" applyAlignment="1">
      <alignment horizontal="center" vertical="center" wrapText="1"/>
    </xf>
    <xf numFmtId="4" fontId="19" fillId="0" borderId="0" xfId="0" applyNumberFormat="1" applyFont="1" applyFill="1" applyBorder="1" applyAlignment="1">
      <alignment vertical="center"/>
    </xf>
    <xf numFmtId="0" fontId="19" fillId="0" borderId="0" xfId="3" applyFont="1" applyBorder="1" applyAlignment="1">
      <alignment vertical="center"/>
    </xf>
    <xf numFmtId="0" fontId="38" fillId="4" borderId="6" xfId="0" applyFont="1" applyFill="1" applyBorder="1" applyAlignment="1">
      <alignment horizontal="center" vertical="center"/>
    </xf>
    <xf numFmtId="166" fontId="19" fillId="0" borderId="0" xfId="0" applyNumberFormat="1" applyFont="1" applyFill="1" applyBorder="1" applyAlignment="1">
      <alignment vertical="center"/>
    </xf>
    <xf numFmtId="0" fontId="39" fillId="0" borderId="0" xfId="0" applyFont="1"/>
    <xf numFmtId="3" fontId="16" fillId="6" borderId="0" xfId="0" applyNumberFormat="1" applyFont="1" applyFill="1" applyBorder="1" applyAlignment="1">
      <alignment vertical="center"/>
    </xf>
    <xf numFmtId="3" fontId="18" fillId="6" borderId="7" xfId="0" applyNumberFormat="1" applyFont="1" applyFill="1" applyBorder="1" applyAlignment="1">
      <alignment vertical="center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4" fillId="4" borderId="6" xfId="3" applyNumberFormat="1" applyFont="1" applyFill="1" applyBorder="1" applyAlignment="1">
      <alignment horizontal="center" vertical="center" wrapText="1"/>
    </xf>
    <xf numFmtId="165" fontId="14" fillId="4" borderId="6" xfId="0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0" fillId="0" borderId="0" xfId="0" applyFont="1" applyFill="1"/>
    <xf numFmtId="0" fontId="41" fillId="0" borderId="0" xfId="0" applyFont="1" applyFill="1"/>
    <xf numFmtId="0" fontId="4" fillId="0" borderId="0" xfId="0" applyFont="1" applyBorder="1" applyAlignment="1">
      <alignment vertical="center"/>
    </xf>
    <xf numFmtId="3" fontId="16" fillId="6" borderId="0" xfId="3" applyNumberFormat="1" applyFont="1" applyFill="1" applyBorder="1" applyAlignment="1">
      <alignment vertical="center"/>
    </xf>
    <xf numFmtId="3" fontId="13" fillId="6" borderId="0" xfId="0" applyNumberFormat="1" applyFont="1" applyFill="1" applyBorder="1" applyAlignment="1">
      <alignment vertical="center"/>
    </xf>
    <xf numFmtId="3" fontId="16" fillId="0" borderId="0" xfId="3" applyNumberFormat="1" applyFont="1" applyFill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3" fontId="19" fillId="0" borderId="0" xfId="0" applyNumberFormat="1" applyFont="1" applyBorder="1" applyAlignment="1">
      <alignment vertical="center"/>
    </xf>
    <xf numFmtId="0" fontId="11" fillId="3" borderId="0" xfId="3" applyFont="1" applyFill="1" applyBorder="1" applyAlignment="1">
      <alignment horizontal="right" vertical="center"/>
    </xf>
    <xf numFmtId="1" fontId="23" fillId="3" borderId="0" xfId="3" applyNumberFormat="1" applyFont="1" applyFill="1" applyBorder="1" applyAlignment="1">
      <alignment horizontal="left" vertical="center"/>
    </xf>
    <xf numFmtId="167" fontId="13" fillId="0" borderId="0" xfId="0" applyNumberFormat="1" applyFont="1" applyFill="1" applyBorder="1" applyAlignment="1">
      <alignment vertical="center"/>
    </xf>
    <xf numFmtId="167" fontId="19" fillId="0" borderId="0" xfId="0" applyNumberFormat="1" applyFont="1" applyFill="1" applyBorder="1" applyAlignment="1">
      <alignment vertical="center"/>
    </xf>
    <xf numFmtId="167" fontId="16" fillId="6" borderId="0" xfId="3" applyNumberFormat="1" applyFont="1" applyFill="1" applyBorder="1" applyAlignment="1">
      <alignment vertical="center"/>
    </xf>
    <xf numFmtId="167" fontId="13" fillId="6" borderId="0" xfId="0" applyNumberFormat="1" applyFont="1" applyFill="1" applyBorder="1" applyAlignment="1">
      <alignment vertical="center"/>
    </xf>
    <xf numFmtId="167" fontId="16" fillId="0" borderId="0" xfId="3" applyNumberFormat="1" applyFont="1" applyFill="1" applyBorder="1" applyAlignment="1">
      <alignment vertical="center"/>
    </xf>
    <xf numFmtId="0" fontId="19" fillId="6" borderId="7" xfId="3" applyFont="1" applyFill="1" applyBorder="1" applyAlignment="1">
      <alignment horizontal="left" vertical="center"/>
    </xf>
    <xf numFmtId="0" fontId="13" fillId="6" borderId="7" xfId="3" applyFont="1" applyFill="1" applyBorder="1" applyAlignment="1">
      <alignment horizontal="center" vertical="center"/>
    </xf>
    <xf numFmtId="3" fontId="19" fillId="6" borderId="7" xfId="3" applyNumberFormat="1" applyFont="1" applyFill="1" applyBorder="1" applyAlignment="1">
      <alignment vertical="center"/>
    </xf>
    <xf numFmtId="9" fontId="13" fillId="2" borderId="0" xfId="2" applyFont="1" applyFill="1" applyBorder="1" applyAlignment="1">
      <alignment vertical="center"/>
    </xf>
    <xf numFmtId="0" fontId="28" fillId="0" borderId="0" xfId="0" applyFont="1" applyAlignment="1">
      <alignment horizontal="right" vertical="center"/>
    </xf>
    <xf numFmtId="0" fontId="2" fillId="6" borderId="0" xfId="0" applyFont="1" applyFill="1" applyBorder="1"/>
    <xf numFmtId="0" fontId="13" fillId="6" borderId="0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9" fontId="9" fillId="0" borderId="0" xfId="2" applyFont="1" applyBorder="1" applyAlignment="1">
      <alignment horizontal="left" vertical="center" wrapText="1" indent="1"/>
    </xf>
    <xf numFmtId="0" fontId="0" fillId="0" borderId="0" xfId="0" applyBorder="1" applyAlignment="1">
      <alignment horizontal="left" vertical="center" indent="1"/>
    </xf>
    <xf numFmtId="0" fontId="45" fillId="4" borderId="6" xfId="0" applyFont="1" applyFill="1" applyBorder="1" applyAlignment="1">
      <alignment horizontal="center" vertical="center" wrapText="1"/>
    </xf>
    <xf numFmtId="0" fontId="46" fillId="6" borderId="0" xfId="3" applyFont="1" applyFill="1" applyBorder="1" applyAlignment="1">
      <alignment horizontal="left" vertical="center"/>
    </xf>
    <xf numFmtId="0" fontId="47" fillId="6" borderId="0" xfId="3" applyFont="1" applyFill="1" applyBorder="1" applyAlignment="1">
      <alignment horizontal="center" vertical="center"/>
    </xf>
    <xf numFmtId="4" fontId="46" fillId="6" borderId="0" xfId="3" applyNumberFormat="1" applyFont="1" applyFill="1" applyBorder="1" applyAlignment="1">
      <alignment vertical="center"/>
    </xf>
    <xf numFmtId="4" fontId="48" fillId="6" borderId="0" xfId="0" applyNumberFormat="1" applyFont="1" applyFill="1" applyBorder="1" applyAlignment="1">
      <alignment vertical="center"/>
    </xf>
    <xf numFmtId="0" fontId="47" fillId="6" borderId="0" xfId="3" applyFont="1" applyFill="1"/>
    <xf numFmtId="0" fontId="42" fillId="6" borderId="0" xfId="0" applyFont="1" applyFill="1" applyBorder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9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6" borderId="0" xfId="0" applyFill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9" fontId="8" fillId="2" borderId="2" xfId="2" applyFont="1" applyFill="1" applyBorder="1" applyAlignment="1">
      <alignment vertical="center" wrapText="1"/>
    </xf>
    <xf numFmtId="9" fontId="35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9" fontId="7" fillId="6" borderId="1" xfId="2" applyFont="1" applyFill="1" applyBorder="1" applyAlignment="1" applyProtection="1">
      <alignment vertical="center"/>
      <protection locked="0"/>
    </xf>
    <xf numFmtId="9" fontId="35" fillId="6" borderId="0" xfId="0" applyNumberFormat="1" applyFont="1" applyFill="1"/>
    <xf numFmtId="168" fontId="52" fillId="6" borderId="0" xfId="1" applyNumberFormat="1" applyFont="1" applyFill="1" applyBorder="1" applyAlignment="1">
      <alignment horizontal="left" vertical="center" indent="1"/>
    </xf>
    <xf numFmtId="2" fontId="13" fillId="0" borderId="0" xfId="0" applyNumberFormat="1" applyFont="1" applyAlignment="1">
      <alignment vertical="center"/>
    </xf>
    <xf numFmtId="0" fontId="2" fillId="0" borderId="0" xfId="0" applyFont="1" applyBorder="1" applyAlignment="1">
      <alignment wrapText="1"/>
    </xf>
    <xf numFmtId="10" fontId="29" fillId="6" borderId="7" xfId="2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3" fontId="7" fillId="6" borderId="2" xfId="1" applyNumberFormat="1" applyFont="1" applyFill="1" applyBorder="1" applyAlignment="1" applyProtection="1">
      <alignment horizontal="center" vertical="center"/>
      <protection locked="0"/>
    </xf>
    <xf numFmtId="3" fontId="7" fillId="6" borderId="3" xfId="1" applyNumberFormat="1" applyFont="1" applyFill="1" applyBorder="1" applyAlignment="1" applyProtection="1">
      <alignment horizontal="center" vertical="center"/>
      <protection locked="0"/>
    </xf>
    <xf numFmtId="3" fontId="7" fillId="6" borderId="4" xfId="1" applyNumberFormat="1" applyFont="1" applyFill="1" applyBorder="1" applyAlignment="1" applyProtection="1">
      <alignment horizontal="center" vertical="center"/>
      <protection locked="0"/>
    </xf>
    <xf numFmtId="3" fontId="7" fillId="2" borderId="2" xfId="1" applyNumberFormat="1" applyFont="1" applyFill="1" applyBorder="1" applyAlignment="1" applyProtection="1">
      <alignment horizontal="center" vertical="center"/>
      <protection locked="0"/>
    </xf>
    <xf numFmtId="3" fontId="7" fillId="2" borderId="3" xfId="1" applyNumberFormat="1" applyFont="1" applyFill="1" applyBorder="1" applyAlignment="1" applyProtection="1">
      <alignment horizontal="center" vertical="center"/>
      <protection locked="0"/>
    </xf>
    <xf numFmtId="3" fontId="7" fillId="2" borderId="4" xfId="1" applyNumberFormat="1" applyFont="1" applyFill="1" applyBorder="1" applyAlignment="1" applyProtection="1">
      <alignment horizontal="center" vertical="center"/>
      <protection locked="0"/>
    </xf>
    <xf numFmtId="3" fontId="7" fillId="6" borderId="2" xfId="1" applyNumberFormat="1" applyFont="1" applyFill="1" applyBorder="1" applyAlignment="1">
      <alignment horizontal="center" vertical="center"/>
    </xf>
    <xf numFmtId="3" fontId="7" fillId="6" borderId="3" xfId="1" applyNumberFormat="1" applyFont="1" applyFill="1" applyBorder="1" applyAlignment="1">
      <alignment horizontal="center" vertical="center"/>
    </xf>
    <xf numFmtId="3" fontId="7" fillId="6" borderId="4" xfId="1" applyNumberFormat="1" applyFont="1" applyFill="1" applyBorder="1" applyAlignment="1">
      <alignment horizontal="center" vertical="center"/>
    </xf>
    <xf numFmtId="3" fontId="29" fillId="6" borderId="7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 applyProtection="1">
      <alignment vertical="center"/>
      <protection locked="0"/>
    </xf>
    <xf numFmtId="3" fontId="7" fillId="6" borderId="8" xfId="1" applyNumberFormat="1" applyFont="1" applyFill="1" applyBorder="1" applyAlignment="1" applyProtection="1">
      <alignment vertical="center"/>
      <protection locked="0"/>
    </xf>
    <xf numFmtId="3" fontId="29" fillId="6" borderId="0" xfId="1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wrapText="1"/>
    </xf>
    <xf numFmtId="10" fontId="7" fillId="6" borderId="1" xfId="2" applyNumberFormat="1" applyFont="1" applyFill="1" applyBorder="1" applyAlignment="1" applyProtection="1">
      <alignment horizontal="center" vertical="center"/>
      <protection locked="0"/>
    </xf>
    <xf numFmtId="10" fontId="7" fillId="2" borderId="1" xfId="2" applyNumberFormat="1" applyFont="1" applyFill="1" applyBorder="1" applyAlignment="1" applyProtection="1">
      <alignment horizontal="center" vertical="center"/>
      <protection locked="0"/>
    </xf>
    <xf numFmtId="9" fontId="9" fillId="6" borderId="0" xfId="2" applyFont="1" applyFill="1" applyBorder="1" applyAlignment="1">
      <alignment horizontal="left" vertical="center" wrapText="1"/>
    </xf>
    <xf numFmtId="9" fontId="9" fillId="6" borderId="8" xfId="2" applyFont="1" applyFill="1" applyBorder="1" applyAlignment="1">
      <alignment horizontal="left" vertical="center" wrapText="1"/>
    </xf>
    <xf numFmtId="3" fontId="7" fillId="6" borderId="0" xfId="1" applyNumberFormat="1" applyFont="1" applyFill="1" applyBorder="1" applyAlignment="1">
      <alignment vertical="center"/>
    </xf>
    <xf numFmtId="3" fontId="7" fillId="6" borderId="8" xfId="1" applyNumberFormat="1" applyFont="1" applyFill="1" applyBorder="1" applyAlignment="1">
      <alignment vertical="center"/>
    </xf>
    <xf numFmtId="0" fontId="49" fillId="0" borderId="1" xfId="0" applyFont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10" fontId="51" fillId="2" borderId="1" xfId="2" applyNumberFormat="1" applyFont="1" applyFill="1" applyBorder="1" applyAlignment="1" applyProtection="1">
      <alignment horizontal="center" vertical="center"/>
      <protection locked="0"/>
    </xf>
    <xf numFmtId="9" fontId="8" fillId="0" borderId="0" xfId="2" applyFont="1" applyBorder="1" applyAlignment="1">
      <alignment horizontal="left" vertical="center" wrapText="1"/>
    </xf>
    <xf numFmtId="9" fontId="8" fillId="0" borderId="8" xfId="2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/>
    </xf>
    <xf numFmtId="0" fontId="31" fillId="0" borderId="8" xfId="0" applyFont="1" applyBorder="1" applyAlignment="1">
      <alignment horizontal="left" vertical="center"/>
    </xf>
    <xf numFmtId="3" fontId="7" fillId="2" borderId="2" xfId="1" applyNumberFormat="1" applyFont="1" applyFill="1" applyBorder="1" applyAlignment="1">
      <alignment horizontal="center" vertical="center"/>
    </xf>
    <xf numFmtId="3" fontId="7" fillId="2" borderId="3" xfId="1" applyNumberFormat="1" applyFont="1" applyFill="1" applyBorder="1" applyAlignment="1">
      <alignment horizontal="center" vertical="center"/>
    </xf>
    <xf numFmtId="3" fontId="7" fillId="2" borderId="4" xfId="1" applyNumberFormat="1" applyFont="1" applyFill="1" applyBorder="1" applyAlignment="1">
      <alignment horizontal="center" vertical="center"/>
    </xf>
    <xf numFmtId="3" fontId="29" fillId="6" borderId="2" xfId="1" applyNumberFormat="1" applyFont="1" applyFill="1" applyBorder="1" applyAlignment="1">
      <alignment horizontal="center" vertical="center"/>
    </xf>
    <xf numFmtId="3" fontId="29" fillId="6" borderId="3" xfId="1" applyNumberFormat="1" applyFont="1" applyFill="1" applyBorder="1" applyAlignment="1">
      <alignment horizontal="center" vertical="center"/>
    </xf>
    <xf numFmtId="3" fontId="29" fillId="6" borderId="4" xfId="1" applyNumberFormat="1" applyFont="1" applyFill="1" applyBorder="1" applyAlignment="1">
      <alignment horizontal="center" vertical="center"/>
    </xf>
    <xf numFmtId="3" fontId="7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9" fontId="8" fillId="6" borderId="0" xfId="2" applyFont="1" applyFill="1" applyBorder="1" applyAlignment="1">
      <alignment horizontal="left" vertical="center" wrapText="1"/>
    </xf>
    <xf numFmtId="9" fontId="8" fillId="6" borderId="8" xfId="2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0" fillId="6" borderId="5" xfId="0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vertical="center"/>
    </xf>
    <xf numFmtId="9" fontId="7" fillId="6" borderId="1" xfId="2" applyFont="1" applyFill="1" applyBorder="1" applyAlignment="1" applyProtection="1">
      <alignment horizontal="center" vertical="center"/>
      <protection locked="0"/>
    </xf>
    <xf numFmtId="3" fontId="7" fillId="2" borderId="1" xfId="2" applyNumberFormat="1" applyFont="1" applyFill="1" applyBorder="1" applyAlignment="1" applyProtection="1">
      <alignment horizontal="center" vertical="center"/>
      <protection locked="0"/>
    </xf>
    <xf numFmtId="9" fontId="8" fillId="0" borderId="2" xfId="2" applyFont="1" applyBorder="1" applyAlignment="1">
      <alignment vertical="center" wrapText="1"/>
    </xf>
    <xf numFmtId="9" fontId="8" fillId="0" borderId="4" xfId="2" applyFont="1" applyBorder="1" applyAlignment="1">
      <alignment vertical="center" wrapText="1"/>
    </xf>
    <xf numFmtId="9" fontId="50" fillId="2" borderId="1" xfId="2" applyFont="1" applyFill="1" applyBorder="1" applyAlignment="1" applyProtection="1">
      <alignment horizontal="left" vertical="center" wrapText="1"/>
      <protection locked="0"/>
    </xf>
    <xf numFmtId="9" fontId="8" fillId="0" borderId="1" xfId="2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9" fontId="8" fillId="0" borderId="0" xfId="2" applyFont="1" applyBorder="1" applyAlignment="1">
      <alignment vertical="center" wrapText="1"/>
    </xf>
    <xf numFmtId="9" fontId="8" fillId="0" borderId="0" xfId="2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44" fillId="2" borderId="0" xfId="0" applyFont="1" applyFill="1" applyAlignment="1">
      <alignment horizontal="center"/>
    </xf>
    <xf numFmtId="3" fontId="6" fillId="0" borderId="1" xfId="1" applyNumberFormat="1" applyFont="1" applyBorder="1" applyAlignment="1">
      <alignment horizontal="center" vertical="center"/>
    </xf>
    <xf numFmtId="0" fontId="42" fillId="6" borderId="5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left" wrapText="1"/>
    </xf>
    <xf numFmtId="9" fontId="7" fillId="0" borderId="0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9" fontId="50" fillId="0" borderId="0" xfId="2" applyFont="1" applyBorder="1" applyAlignment="1">
      <alignment vertical="center" wrapText="1"/>
    </xf>
    <xf numFmtId="3" fontId="6" fillId="6" borderId="1" xfId="1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38" fillId="4" borderId="0" xfId="0" applyFont="1" applyFill="1" applyBorder="1" applyAlignment="1">
      <alignment horizontal="center" vertical="center" wrapText="1"/>
    </xf>
    <xf numFmtId="0" fontId="38" fillId="4" borderId="9" xfId="0" applyFont="1" applyFill="1" applyBorder="1" applyAlignment="1">
      <alignment horizontal="center" vertical="center" wrapText="1"/>
    </xf>
    <xf numFmtId="0" fontId="34" fillId="6" borderId="2" xfId="3" applyFont="1" applyFill="1" applyBorder="1" applyAlignment="1">
      <alignment horizontal="center" vertical="center" wrapText="1"/>
    </xf>
    <xf numFmtId="0" fontId="34" fillId="6" borderId="3" xfId="3" applyFont="1" applyFill="1" applyBorder="1" applyAlignment="1">
      <alignment horizontal="center" vertical="center" wrapText="1"/>
    </xf>
    <xf numFmtId="0" fontId="34" fillId="6" borderId="4" xfId="3" applyFont="1" applyFill="1" applyBorder="1" applyAlignment="1">
      <alignment horizontal="center" vertical="center" wrapText="1"/>
    </xf>
    <xf numFmtId="0" fontId="34" fillId="0" borderId="2" xfId="3" applyFont="1" applyBorder="1" applyAlignment="1">
      <alignment horizontal="center" vertical="center" wrapText="1"/>
    </xf>
    <xf numFmtId="0" fontId="34" fillId="0" borderId="3" xfId="3" applyFont="1" applyBorder="1" applyAlignment="1">
      <alignment horizontal="center" vertical="center" wrapText="1"/>
    </xf>
    <xf numFmtId="0" fontId="34" fillId="0" borderId="4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 wrapText="1"/>
    </xf>
  </cellXfs>
  <cellStyles count="6">
    <cellStyle name="Обычный" xfId="0" builtinId="0"/>
    <cellStyle name="Обычный_7.1. ТЭО (RH)" xfId="3"/>
    <cellStyle name="Процентный" xfId="2" builtinId="5"/>
    <cellStyle name="Процентный 2" xfId="4"/>
    <cellStyle name="Финансовый" xfId="1" builtinId="3"/>
    <cellStyle name="Финансовый 2" xfId="5"/>
  </cellStyles>
  <dxfs count="1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" dropStyle="combo" dx="22" fmlaLink="$R$2" fmlaRange="$S$2:$S$3" val="0"/>
</file>

<file path=xl/ctrlProps/ctrlProp2.xml><?xml version="1.0" encoding="utf-8"?>
<formControlPr xmlns="http://schemas.microsoft.com/office/spreadsheetml/2009/9/main" objectType="Drop" dropLines="12" dropStyle="combo" dx="22" fmlaLink="T$2" fmlaRange="$U$2:$U$13" sel="2" val="0"/>
</file>

<file path=xl/ctrlProps/ctrlProp3.xml><?xml version="1.0" encoding="utf-8"?>
<formControlPr xmlns="http://schemas.microsoft.com/office/spreadsheetml/2009/9/main" objectType="Drop" dropLines="4" dropStyle="combo" dx="22" fmlaLink="$V$2" fmlaRange="$W$2:$W$5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60</xdr:row>
      <xdr:rowOff>26175</xdr:rowOff>
    </xdr:from>
    <xdr:to>
      <xdr:col>0</xdr:col>
      <xdr:colOff>542100</xdr:colOff>
      <xdr:row>60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58</xdr:row>
      <xdr:rowOff>23700</xdr:rowOff>
    </xdr:from>
    <xdr:to>
      <xdr:col>1</xdr:col>
      <xdr:colOff>5806</xdr:colOff>
      <xdr:row>58</xdr:row>
      <xdr:rowOff>515580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4074325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61</xdr:row>
      <xdr:rowOff>21300</xdr:rowOff>
    </xdr:from>
    <xdr:to>
      <xdr:col>0</xdr:col>
      <xdr:colOff>553875</xdr:colOff>
      <xdr:row>61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9525</xdr:rowOff>
    </xdr:from>
    <xdr:to>
      <xdr:col>0</xdr:col>
      <xdr:colOff>551625</xdr:colOff>
      <xdr:row>47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819150</xdr:colOff>
          <xdr:row>2</xdr:row>
          <xdr:rowOff>66675</xdr:rowOff>
        </xdr:from>
        <xdr:to>
          <xdr:col>5</xdr:col>
          <xdr:colOff>571500</xdr:colOff>
          <xdr:row>2</xdr:row>
          <xdr:rowOff>352425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35</xdr:row>
      <xdr:rowOff>49555</xdr:rowOff>
    </xdr:from>
    <xdr:to>
      <xdr:col>0</xdr:col>
      <xdr:colOff>551622</xdr:colOff>
      <xdr:row>35</xdr:row>
      <xdr:rowOff>553556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6835326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55191</xdr:colOff>
      <xdr:row>34</xdr:row>
      <xdr:rowOff>51034</xdr:rowOff>
    </xdr:from>
    <xdr:to>
      <xdr:col>1</xdr:col>
      <xdr:colOff>1298</xdr:colOff>
      <xdr:row>34</xdr:row>
      <xdr:rowOff>550550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91" y="16265305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10887</xdr:rowOff>
    </xdr:from>
    <xdr:to>
      <xdr:col>0</xdr:col>
      <xdr:colOff>551625</xdr:colOff>
      <xdr:row>28</xdr:row>
      <xdr:rowOff>516248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96158"/>
          <a:ext cx="504000" cy="5053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33</xdr:row>
      <xdr:rowOff>46356</xdr:rowOff>
    </xdr:from>
    <xdr:to>
      <xdr:col>1</xdr:col>
      <xdr:colOff>3255</xdr:colOff>
      <xdr:row>33</xdr:row>
      <xdr:rowOff>550357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8" y="1568912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57</xdr:row>
      <xdr:rowOff>19050</xdr:rowOff>
    </xdr:from>
    <xdr:to>
      <xdr:col>0</xdr:col>
      <xdr:colOff>551625</xdr:colOff>
      <xdr:row>57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800100</xdr:colOff>
          <xdr:row>3</xdr:row>
          <xdr:rowOff>57150</xdr:rowOff>
        </xdr:from>
        <xdr:to>
          <xdr:col>5</xdr:col>
          <xdr:colOff>581025</xdr:colOff>
          <xdr:row>3</xdr:row>
          <xdr:rowOff>352425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52</xdr:row>
      <xdr:rowOff>22412</xdr:rowOff>
    </xdr:from>
    <xdr:to>
      <xdr:col>0</xdr:col>
      <xdr:colOff>548824</xdr:colOff>
      <xdr:row>52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52390</xdr:colOff>
      <xdr:row>53</xdr:row>
      <xdr:rowOff>28573</xdr:rowOff>
    </xdr:from>
    <xdr:to>
      <xdr:col>0</xdr:col>
      <xdr:colOff>556390</xdr:colOff>
      <xdr:row>54</xdr:row>
      <xdr:rowOff>1895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0" y="19126198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51</xdr:row>
      <xdr:rowOff>0</xdr:rowOff>
    </xdr:from>
    <xdr:to>
      <xdr:col>0</xdr:col>
      <xdr:colOff>551630</xdr:colOff>
      <xdr:row>51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54</xdr:row>
      <xdr:rowOff>9526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93" y="2529840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42867</xdr:colOff>
      <xdr:row>32</xdr:row>
      <xdr:rowOff>46264</xdr:rowOff>
    </xdr:from>
    <xdr:to>
      <xdr:col>1</xdr:col>
      <xdr:colOff>2596</xdr:colOff>
      <xdr:row>32</xdr:row>
      <xdr:rowOff>552985</xdr:rowOff>
    </xdr:to>
    <xdr:pic>
      <xdr:nvPicPr>
        <xdr:cNvPr id="46" name="Рисунок 2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7" y="15117535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52393</xdr:colOff>
      <xdr:row>49</xdr:row>
      <xdr:rowOff>0</xdr:rowOff>
    </xdr:from>
    <xdr:to>
      <xdr:col>0</xdr:col>
      <xdr:colOff>556393</xdr:colOff>
      <xdr:row>49</xdr:row>
      <xdr:rowOff>504000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3" y="24703088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50</xdr:row>
      <xdr:rowOff>4763</xdr:rowOff>
    </xdr:from>
    <xdr:to>
      <xdr:col>0</xdr:col>
      <xdr:colOff>551630</xdr:colOff>
      <xdr:row>50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55</xdr:row>
      <xdr:rowOff>0</xdr:rowOff>
    </xdr:from>
    <xdr:to>
      <xdr:col>0</xdr:col>
      <xdr:colOff>556393</xdr:colOff>
      <xdr:row>55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56</xdr:row>
      <xdr:rowOff>0</xdr:rowOff>
    </xdr:from>
    <xdr:to>
      <xdr:col>0</xdr:col>
      <xdr:colOff>551630</xdr:colOff>
      <xdr:row>56</xdr:row>
      <xdr:rowOff>504000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30" y="25727025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48</xdr:row>
      <xdr:rowOff>9525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86915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52393</xdr:colOff>
      <xdr:row>31</xdr:row>
      <xdr:rowOff>27215</xdr:rowOff>
    </xdr:from>
    <xdr:to>
      <xdr:col>0</xdr:col>
      <xdr:colOff>556393</xdr:colOff>
      <xdr:row>31</xdr:row>
      <xdr:rowOff>534389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3" y="14526986"/>
          <a:ext cx="504000" cy="507174"/>
        </a:xfrm>
        <a:prstGeom prst="rect">
          <a:avLst/>
        </a:prstGeom>
      </xdr:spPr>
    </xdr:pic>
    <xdr:clientData/>
  </xdr:twoCellAnchor>
  <xdr:oneCellAnchor>
    <xdr:from>
      <xdr:col>0</xdr:col>
      <xdr:colOff>49875</xdr:colOff>
      <xdr:row>59</xdr:row>
      <xdr:rowOff>21300</xdr:rowOff>
    </xdr:from>
    <xdr:ext cx="504000" cy="504000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33058763"/>
          <a:ext cx="504000" cy="50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742950</xdr:colOff>
          <xdr:row>2</xdr:row>
          <xdr:rowOff>38100</xdr:rowOff>
        </xdr:from>
        <xdr:to>
          <xdr:col>12</xdr:col>
          <xdr:colOff>704850</xdr:colOff>
          <xdr:row>2</xdr:row>
          <xdr:rowOff>352425</xdr:rowOff>
        </xdr:to>
        <xdr:sp macro="" textlink="">
          <xdr:nvSpPr>
            <xdr:cNvPr id="4099" name="Drop Down 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oneCellAnchor>
    <xdr:from>
      <xdr:col>0</xdr:col>
      <xdr:colOff>43544</xdr:colOff>
      <xdr:row>29</xdr:row>
      <xdr:rowOff>0</xdr:rowOff>
    </xdr:from>
    <xdr:ext cx="504000" cy="504000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4ED342A-1A4E-407C-9DA1-A8100124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544" y="1335677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43544</xdr:colOff>
      <xdr:row>30</xdr:row>
      <xdr:rowOff>0</xdr:rowOff>
    </xdr:from>
    <xdr:ext cx="504000" cy="503439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3ED31313-4381-4657-90E4-256253F8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44" y="13928271"/>
          <a:ext cx="504000" cy="503439"/>
        </a:xfrm>
        <a:prstGeom prst="rect">
          <a:avLst/>
        </a:prstGeom>
      </xdr:spPr>
    </xdr:pic>
    <xdr:clientData/>
  </xdr:oneCellAnchor>
  <xdr:oneCellAnchor>
    <xdr:from>
      <xdr:col>0</xdr:col>
      <xdr:colOff>70759</xdr:colOff>
      <xdr:row>46</xdr:row>
      <xdr:rowOff>0</xdr:rowOff>
    </xdr:from>
    <xdr:ext cx="479937" cy="504000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CF47BD86-A48A-4C21-AAB5-1B16E2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9" y="21989143"/>
          <a:ext cx="479937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~1/ZaziOne/LOCALS~1/Temp/bat/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nts%20and%20Settings/&#1052;&#1072;&#1088;&#1075;&#1086;/&#1056;&#1072;&#1073;&#1086;&#1095;&#1080;&#1081;%20&#1089;&#1090;&#1086;&#1083;/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75"/>
  <sheetViews>
    <sheetView showGridLines="0" tabSelected="1" topLeftCell="A12" zoomScale="70" zoomScaleNormal="70" zoomScaleSheetLayoutView="85" workbookViewId="0">
      <selection activeCell="M78" sqref="M78"/>
    </sheetView>
  </sheetViews>
  <sheetFormatPr defaultRowHeight="15" x14ac:dyDescent="0.25"/>
  <cols>
    <col min="1" max="1" width="8.42578125" customWidth="1"/>
    <col min="2" max="2" width="24.42578125" customWidth="1"/>
    <col min="3" max="8" width="13.140625" customWidth="1"/>
    <col min="9" max="9" width="14" customWidth="1"/>
    <col min="10" max="14" width="13.140625" customWidth="1"/>
    <col min="15" max="15" width="11.85546875" customWidth="1"/>
    <col min="16" max="17" width="9.140625" customWidth="1"/>
    <col min="18" max="18" width="1.7109375" hidden="1" customWidth="1"/>
    <col min="19" max="19" width="4.28515625" hidden="1" customWidth="1"/>
    <col min="20" max="20" width="1.7109375" hidden="1" customWidth="1"/>
    <col min="21" max="21" width="8.140625" hidden="1" customWidth="1"/>
    <col min="22" max="22" width="1.7109375" hidden="1" customWidth="1"/>
    <col min="23" max="23" width="18.85546875" hidden="1" customWidth="1"/>
    <col min="24" max="24" width="8.85546875" customWidth="1"/>
  </cols>
  <sheetData>
    <row r="1" spans="1:24" ht="15.75" x14ac:dyDescent="0.25">
      <c r="A1" s="239" t="s">
        <v>5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87"/>
    </row>
    <row r="2" spans="1:24" ht="65.099999999999994" customHeight="1" x14ac:dyDescent="0.25">
      <c r="A2" s="238" t="s">
        <v>100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167"/>
      <c r="R2" s="82">
        <v>1</v>
      </c>
      <c r="S2" s="89" t="s">
        <v>66</v>
      </c>
      <c r="T2" s="105">
        <v>2</v>
      </c>
      <c r="U2" s="105" t="s">
        <v>25</v>
      </c>
      <c r="V2">
        <v>1</v>
      </c>
      <c r="W2" s="182" t="str">
        <f>'Франчайзинговые пакеты'!A5</f>
        <v>Онлайн</v>
      </c>
      <c r="X2" s="105"/>
    </row>
    <row r="3" spans="1:24" ht="36" customHeight="1" x14ac:dyDescent="0.25">
      <c r="A3" s="81" t="s">
        <v>49</v>
      </c>
      <c r="B3" s="88"/>
      <c r="G3" s="81"/>
      <c r="H3" s="81"/>
      <c r="I3" s="81" t="s">
        <v>101</v>
      </c>
      <c r="J3" s="81"/>
      <c r="K3" s="81"/>
      <c r="L3" s="81"/>
      <c r="N3" s="79"/>
      <c r="O3" s="79"/>
      <c r="P3" s="80"/>
      <c r="R3" s="89"/>
      <c r="S3" s="89" t="s">
        <v>64</v>
      </c>
      <c r="T3" s="105"/>
      <c r="U3" s="105" t="s">
        <v>26</v>
      </c>
      <c r="W3" s="182" t="str">
        <f>'Франчайзинговые пакеты'!A6</f>
        <v>Базовый</v>
      </c>
      <c r="X3" s="105"/>
    </row>
    <row r="4" spans="1:24" ht="36" customHeight="1" x14ac:dyDescent="0.25">
      <c r="A4" s="157" t="s">
        <v>24</v>
      </c>
      <c r="B4" s="88"/>
      <c r="L4" s="154"/>
      <c r="N4" s="79"/>
      <c r="O4" s="79"/>
      <c r="P4" s="80"/>
      <c r="R4" s="89"/>
      <c r="S4" s="89" t="s">
        <v>65</v>
      </c>
      <c r="T4" s="105"/>
      <c r="U4" s="105" t="s">
        <v>52</v>
      </c>
      <c r="W4" s="182" t="str">
        <f>'Франчайзинговые пакеты'!A7</f>
        <v>Оптима</v>
      </c>
    </row>
    <row r="5" spans="1:24" ht="12.4" customHeight="1" x14ac:dyDescent="0.25">
      <c r="A5" s="157"/>
      <c r="B5" s="88"/>
      <c r="L5" s="154"/>
      <c r="N5" s="79"/>
      <c r="O5" s="79"/>
      <c r="P5" s="80"/>
      <c r="R5" s="89"/>
      <c r="S5" s="89" t="s">
        <v>63</v>
      </c>
      <c r="T5" s="105"/>
      <c r="U5" s="105" t="s">
        <v>53</v>
      </c>
      <c r="W5" s="182" t="str">
        <f>'Франчайзинговые пакеты'!A8</f>
        <v>Под ключ</v>
      </c>
    </row>
    <row r="6" spans="1:24" ht="41.25" customHeight="1" x14ac:dyDescent="0.25">
      <c r="A6" s="83" t="s">
        <v>51</v>
      </c>
      <c r="S6" s="89"/>
      <c r="T6" s="105"/>
      <c r="U6" s="105" t="s">
        <v>54</v>
      </c>
      <c r="W6" s="177"/>
    </row>
    <row r="7" spans="1:24" s="1" customFormat="1" ht="61.15" customHeight="1" x14ac:dyDescent="0.25">
      <c r="A7" s="226" t="s">
        <v>74</v>
      </c>
      <c r="B7" s="226"/>
      <c r="C7" s="223" t="str">
        <f>"Средняя цена реализации групп товаров, "&amp;CHOOSE($R$2,$S$2,$S$3,$S$4,$S$5)&amp;"/ед."</f>
        <v>Средняя цена реализации групп товаров, RUB/ед.</v>
      </c>
      <c r="D7" s="223"/>
      <c r="E7" s="223"/>
      <c r="F7" s="223" t="s">
        <v>106</v>
      </c>
      <c r="G7" s="223"/>
      <c r="H7" s="223"/>
      <c r="I7" s="223" t="s">
        <v>108</v>
      </c>
      <c r="J7" s="223"/>
      <c r="K7" s="223" t="str">
        <f>"Среднемесячная выручка по группам товаров**, "&amp;CHOOSE($R$2,$S$2,$S$3,$S$4,$S$5)&amp;"/мес."</f>
        <v>Среднемесячная выручка по группам товаров**, RUB/мес.</v>
      </c>
      <c r="L7" s="223"/>
      <c r="M7" s="223"/>
      <c r="N7" s="223"/>
      <c r="O7" s="74"/>
      <c r="P7" s="170"/>
      <c r="R7" s="74"/>
      <c r="S7" s="76"/>
      <c r="T7" s="106"/>
      <c r="U7" s="105" t="s">
        <v>80</v>
      </c>
      <c r="V7" s="77"/>
      <c r="W7" s="177"/>
    </row>
    <row r="8" spans="1:24" s="1" customFormat="1" ht="48.6" customHeight="1" x14ac:dyDescent="0.25">
      <c r="A8" s="226"/>
      <c r="B8" s="226"/>
      <c r="C8" s="223"/>
      <c r="D8" s="223"/>
      <c r="E8" s="223"/>
      <c r="F8" s="223"/>
      <c r="G8" s="223"/>
      <c r="H8" s="223"/>
      <c r="I8" s="178" t="s">
        <v>109</v>
      </c>
      <c r="J8" s="178" t="s">
        <v>110</v>
      </c>
      <c r="K8" s="223"/>
      <c r="L8" s="223"/>
      <c r="M8" s="223"/>
      <c r="N8" s="223"/>
      <c r="O8" s="74"/>
      <c r="P8" s="170"/>
      <c r="R8" s="74"/>
      <c r="S8" s="76"/>
      <c r="T8" s="106"/>
      <c r="U8" s="105" t="s">
        <v>27</v>
      </c>
      <c r="V8" s="77"/>
      <c r="W8" s="177"/>
    </row>
    <row r="9" spans="1:24" ht="39.950000000000003" customHeight="1" x14ac:dyDescent="0.25">
      <c r="A9" s="234" t="s">
        <v>102</v>
      </c>
      <c r="B9" s="234"/>
      <c r="C9" s="230">
        <v>29000</v>
      </c>
      <c r="D9" s="230"/>
      <c r="E9" s="230"/>
      <c r="F9" s="203">
        <v>0.32</v>
      </c>
      <c r="G9" s="203"/>
      <c r="H9" s="203"/>
      <c r="I9" s="180">
        <v>0.16</v>
      </c>
      <c r="J9" s="180">
        <v>0.08</v>
      </c>
      <c r="K9" s="222">
        <f>'Детальный расчет'!P14</f>
        <v>292416.66666666669</v>
      </c>
      <c r="L9" s="222"/>
      <c r="M9" s="222"/>
      <c r="N9" s="222"/>
      <c r="O9" s="183"/>
      <c r="R9" s="105"/>
      <c r="S9" s="105"/>
      <c r="T9" s="78"/>
      <c r="U9" s="105" t="s">
        <v>28</v>
      </c>
      <c r="V9" s="78"/>
      <c r="W9" s="177"/>
    </row>
    <row r="10" spans="1:24" ht="39.950000000000003" customHeight="1" x14ac:dyDescent="0.25">
      <c r="A10" s="234" t="s">
        <v>129</v>
      </c>
      <c r="B10" s="234"/>
      <c r="C10" s="230">
        <v>2090</v>
      </c>
      <c r="D10" s="230"/>
      <c r="E10" s="230"/>
      <c r="F10" s="203">
        <v>0.23</v>
      </c>
      <c r="G10" s="203"/>
      <c r="H10" s="203"/>
      <c r="I10" s="180">
        <v>7.0000000000000007E-2</v>
      </c>
      <c r="J10" s="180"/>
      <c r="K10" s="222">
        <f>'Детальный расчет'!P15</f>
        <v>16406.5</v>
      </c>
      <c r="L10" s="222"/>
      <c r="M10" s="222"/>
      <c r="N10" s="222"/>
      <c r="O10" s="183"/>
      <c r="R10" s="105"/>
      <c r="S10" s="105"/>
      <c r="T10" s="78"/>
      <c r="U10" s="105" t="s">
        <v>29</v>
      </c>
      <c r="V10" s="78"/>
      <c r="W10" s="177"/>
    </row>
    <row r="11" spans="1:24" ht="39.950000000000003" customHeight="1" x14ac:dyDescent="0.25">
      <c r="A11" s="234" t="s">
        <v>124</v>
      </c>
      <c r="B11" s="234"/>
      <c r="C11" s="230">
        <v>3500</v>
      </c>
      <c r="D11" s="230"/>
      <c r="E11" s="230"/>
      <c r="F11" s="203">
        <v>0.4</v>
      </c>
      <c r="G11" s="203"/>
      <c r="H11" s="203"/>
      <c r="I11" s="180"/>
      <c r="J11" s="180"/>
      <c r="K11" s="222">
        <f>'Детальный расчет'!P16</f>
        <v>5250</v>
      </c>
      <c r="L11" s="222"/>
      <c r="M11" s="222"/>
      <c r="N11" s="222"/>
      <c r="O11" s="183"/>
      <c r="R11" s="78"/>
      <c r="S11" s="78"/>
      <c r="T11" s="78"/>
      <c r="U11" s="105" t="s">
        <v>30</v>
      </c>
      <c r="V11" s="78"/>
      <c r="W11" s="177"/>
    </row>
    <row r="12" spans="1:24" ht="39.950000000000003" customHeight="1" x14ac:dyDescent="0.25">
      <c r="A12" s="234" t="s">
        <v>103</v>
      </c>
      <c r="B12" s="234"/>
      <c r="C12" s="230">
        <v>5800</v>
      </c>
      <c r="D12" s="230"/>
      <c r="E12" s="230"/>
      <c r="F12" s="203">
        <v>0.45</v>
      </c>
      <c r="G12" s="203"/>
      <c r="H12" s="203"/>
      <c r="I12" s="180"/>
      <c r="J12" s="180"/>
      <c r="K12" s="222">
        <f>'Детальный расчет'!P17</f>
        <v>30450</v>
      </c>
      <c r="L12" s="222"/>
      <c r="M12" s="222"/>
      <c r="N12" s="222"/>
      <c r="O12" s="183"/>
      <c r="R12" s="105"/>
      <c r="S12" s="105"/>
      <c r="T12" s="78"/>
      <c r="U12" s="105" t="s">
        <v>31</v>
      </c>
      <c r="V12" s="78"/>
      <c r="W12" s="177"/>
    </row>
    <row r="13" spans="1:24" ht="39.950000000000003" customHeight="1" x14ac:dyDescent="0.25">
      <c r="A13" s="234" t="s">
        <v>104</v>
      </c>
      <c r="B13" s="234"/>
      <c r="C13" s="230">
        <v>0.1</v>
      </c>
      <c r="D13" s="230"/>
      <c r="E13" s="230"/>
      <c r="F13" s="203"/>
      <c r="G13" s="203"/>
      <c r="H13" s="203"/>
      <c r="I13" s="180"/>
      <c r="J13" s="180"/>
      <c r="K13" s="222">
        <f>'Детальный расчет'!P18</f>
        <v>0</v>
      </c>
      <c r="L13" s="222"/>
      <c r="M13" s="222"/>
      <c r="N13" s="222"/>
      <c r="O13" s="183"/>
      <c r="R13" s="105"/>
      <c r="S13" s="105"/>
      <c r="T13" s="78"/>
      <c r="U13" s="105" t="s">
        <v>32</v>
      </c>
      <c r="V13" s="78"/>
      <c r="W13" s="177"/>
    </row>
    <row r="14" spans="1:24" ht="39.950000000000003" customHeight="1" x14ac:dyDescent="0.25">
      <c r="A14" s="234" t="s">
        <v>105</v>
      </c>
      <c r="B14" s="234"/>
      <c r="C14" s="230">
        <v>0.03</v>
      </c>
      <c r="D14" s="230"/>
      <c r="E14" s="230"/>
      <c r="F14" s="203"/>
      <c r="G14" s="203"/>
      <c r="H14" s="203"/>
      <c r="I14" s="180"/>
      <c r="J14" s="180"/>
      <c r="K14" s="222">
        <f>'Детальный расчет'!P19</f>
        <v>0</v>
      </c>
      <c r="L14" s="222"/>
      <c r="M14" s="222"/>
      <c r="N14" s="222"/>
      <c r="O14" s="183"/>
      <c r="R14" s="78"/>
      <c r="S14" s="78"/>
      <c r="T14" s="78"/>
      <c r="U14" s="105"/>
      <c r="V14" s="78"/>
      <c r="W14" s="177"/>
    </row>
    <row r="15" spans="1:24" ht="34.15" customHeight="1" x14ac:dyDescent="0.25">
      <c r="A15" s="234" t="s">
        <v>55</v>
      </c>
      <c r="B15" s="234"/>
      <c r="C15" s="229"/>
      <c r="D15" s="229"/>
      <c r="E15" s="229"/>
      <c r="F15" s="229"/>
      <c r="G15" s="229"/>
      <c r="H15" s="229"/>
      <c r="I15" s="181"/>
      <c r="J15" s="181"/>
      <c r="K15" s="222">
        <f>SUM(K9:N14)</f>
        <v>344523.16666666669</v>
      </c>
      <c r="L15" s="222"/>
      <c r="M15" s="222"/>
      <c r="N15" s="222"/>
      <c r="O15" s="183"/>
      <c r="R15" s="105"/>
      <c r="S15" s="105"/>
      <c r="T15" s="78"/>
      <c r="W15" s="177"/>
    </row>
    <row r="16" spans="1:24" ht="38.450000000000003" customHeight="1" x14ac:dyDescent="0.25">
      <c r="A16" s="227" t="s">
        <v>107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W16" s="177"/>
    </row>
    <row r="17" spans="1:31" ht="41.25" customHeight="1" x14ac:dyDescent="0.25">
      <c r="A17" s="83" t="s">
        <v>111</v>
      </c>
      <c r="S17" s="89"/>
      <c r="T17" s="105"/>
      <c r="U17" s="105"/>
      <c r="W17" s="177"/>
    </row>
    <row r="18" spans="1:31" ht="37.15" customHeight="1" x14ac:dyDescent="0.25">
      <c r="A18" s="226" t="s">
        <v>74</v>
      </c>
      <c r="B18" s="226"/>
      <c r="C18" s="223" t="s">
        <v>112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S18" s="89"/>
      <c r="T18" s="105"/>
      <c r="U18" s="105"/>
      <c r="W18" s="177"/>
    </row>
    <row r="19" spans="1:31" s="1" customFormat="1" ht="29.45" customHeight="1" x14ac:dyDescent="0.25">
      <c r="A19" s="226"/>
      <c r="B19" s="226"/>
      <c r="C19" s="178" t="s">
        <v>25</v>
      </c>
      <c r="D19" s="178" t="s">
        <v>26</v>
      </c>
      <c r="E19" s="178" t="s">
        <v>52</v>
      </c>
      <c r="F19" s="178" t="s">
        <v>53</v>
      </c>
      <c r="G19" s="178" t="s">
        <v>54</v>
      </c>
      <c r="H19" s="178" t="s">
        <v>80</v>
      </c>
      <c r="I19" s="178" t="s">
        <v>27</v>
      </c>
      <c r="J19" s="178" t="s">
        <v>28</v>
      </c>
      <c r="K19" s="178" t="s">
        <v>29</v>
      </c>
      <c r="L19" s="178" t="s">
        <v>30</v>
      </c>
      <c r="M19" s="178" t="s">
        <v>31</v>
      </c>
      <c r="N19" s="178" t="s">
        <v>32</v>
      </c>
      <c r="O19" s="74"/>
      <c r="P19" s="170"/>
      <c r="R19" s="74"/>
      <c r="S19" s="76"/>
      <c r="T19" s="106"/>
      <c r="U19" s="105"/>
      <c r="V19" s="77"/>
      <c r="W19" s="177"/>
    </row>
    <row r="20" spans="1:31" ht="38.1" customHeight="1" x14ac:dyDescent="0.25">
      <c r="A20" s="231" t="s">
        <v>102</v>
      </c>
      <c r="B20" s="232"/>
      <c r="C20" s="179">
        <v>3</v>
      </c>
      <c r="D20" s="179">
        <v>5</v>
      </c>
      <c r="E20" s="179">
        <v>10</v>
      </c>
      <c r="F20" s="179">
        <v>25</v>
      </c>
      <c r="G20" s="179">
        <v>15</v>
      </c>
      <c r="H20" s="179">
        <v>10</v>
      </c>
      <c r="I20" s="179">
        <v>5</v>
      </c>
      <c r="J20" s="179">
        <v>5</v>
      </c>
      <c r="K20" s="179">
        <v>15</v>
      </c>
      <c r="L20" s="179">
        <v>10</v>
      </c>
      <c r="M20" s="179">
        <v>5</v>
      </c>
      <c r="N20" s="179">
        <v>3</v>
      </c>
      <c r="O20" s="85"/>
      <c r="R20" s="105"/>
      <c r="S20" s="105"/>
      <c r="T20" s="78"/>
      <c r="U20" s="105"/>
      <c r="V20" s="78"/>
      <c r="W20" s="177"/>
    </row>
    <row r="21" spans="1:31" ht="38.1" customHeight="1" x14ac:dyDescent="0.25">
      <c r="A21" s="231" t="s">
        <v>129</v>
      </c>
      <c r="B21" s="232"/>
      <c r="C21" s="179"/>
      <c r="D21" s="179"/>
      <c r="E21" s="179"/>
      <c r="F21" s="179">
        <v>25</v>
      </c>
      <c r="G21" s="179">
        <v>15</v>
      </c>
      <c r="H21" s="179">
        <v>20</v>
      </c>
      <c r="I21" s="179">
        <v>10</v>
      </c>
      <c r="J21" s="179">
        <v>5</v>
      </c>
      <c r="K21" s="179">
        <v>15</v>
      </c>
      <c r="L21" s="179"/>
      <c r="M21" s="179"/>
      <c r="N21" s="179"/>
      <c r="O21" s="85"/>
      <c r="R21" s="105"/>
      <c r="S21" s="105"/>
      <c r="T21" s="78"/>
      <c r="U21" s="105"/>
      <c r="V21" s="78"/>
      <c r="W21" s="177"/>
    </row>
    <row r="22" spans="1:31" ht="38.1" customHeight="1" x14ac:dyDescent="0.25">
      <c r="A22" s="231" t="s">
        <v>125</v>
      </c>
      <c r="B22" s="232"/>
      <c r="C22" s="179"/>
      <c r="D22" s="179"/>
      <c r="E22" s="179">
        <v>1</v>
      </c>
      <c r="F22" s="179">
        <v>5</v>
      </c>
      <c r="G22" s="179">
        <v>3</v>
      </c>
      <c r="H22" s="179">
        <v>3</v>
      </c>
      <c r="I22" s="179">
        <v>1</v>
      </c>
      <c r="J22" s="179">
        <v>1</v>
      </c>
      <c r="K22" s="179">
        <v>2</v>
      </c>
      <c r="L22" s="179">
        <v>1</v>
      </c>
      <c r="M22" s="179">
        <v>1</v>
      </c>
      <c r="N22" s="179">
        <v>0</v>
      </c>
      <c r="O22" s="85"/>
      <c r="R22" s="78"/>
      <c r="S22" s="78"/>
      <c r="T22" s="78"/>
      <c r="V22" s="78"/>
      <c r="W22" s="177"/>
    </row>
    <row r="23" spans="1:31" ht="38.1" customHeight="1" x14ac:dyDescent="0.25">
      <c r="A23" s="231" t="s">
        <v>103</v>
      </c>
      <c r="B23" s="232"/>
      <c r="C23" s="179"/>
      <c r="D23" s="179"/>
      <c r="E23" s="179"/>
      <c r="F23" s="179">
        <v>15</v>
      </c>
      <c r="G23" s="179">
        <v>15</v>
      </c>
      <c r="H23" s="179">
        <v>10</v>
      </c>
      <c r="I23" s="179">
        <v>4</v>
      </c>
      <c r="J23" s="179">
        <v>4</v>
      </c>
      <c r="K23" s="179">
        <v>10</v>
      </c>
      <c r="L23" s="179">
        <v>5</v>
      </c>
      <c r="M23" s="179">
        <v>0</v>
      </c>
      <c r="N23" s="179">
        <v>0</v>
      </c>
      <c r="O23" s="85"/>
      <c r="R23" s="105"/>
      <c r="S23" s="105"/>
      <c r="T23" s="78"/>
      <c r="U23" s="105"/>
      <c r="V23" s="78"/>
      <c r="W23" s="177"/>
    </row>
    <row r="24" spans="1:31" ht="38.1" customHeight="1" x14ac:dyDescent="0.25">
      <c r="A24" s="231" t="s">
        <v>104</v>
      </c>
      <c r="B24" s="232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85"/>
      <c r="R24" s="105"/>
      <c r="S24" s="105"/>
      <c r="T24" s="78"/>
      <c r="U24" s="105"/>
      <c r="V24" s="78"/>
      <c r="W24" s="177"/>
    </row>
    <row r="25" spans="1:31" ht="38.1" customHeight="1" x14ac:dyDescent="0.25">
      <c r="A25" s="231" t="s">
        <v>105</v>
      </c>
      <c r="B25" s="232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85"/>
      <c r="R25" s="78"/>
      <c r="S25" s="78"/>
      <c r="T25" s="78"/>
      <c r="U25" s="105"/>
      <c r="V25" s="78"/>
      <c r="W25" s="177"/>
    </row>
    <row r="26" spans="1:31" ht="15.4" customHeight="1" x14ac:dyDescent="0.25">
      <c r="A26" s="227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W26" s="177"/>
    </row>
    <row r="27" spans="1:31" ht="24.75" customHeight="1" x14ac:dyDescent="0.25">
      <c r="A27" s="83" t="s">
        <v>56</v>
      </c>
      <c r="G27" s="4"/>
      <c r="H27" s="4"/>
      <c r="I27" s="4"/>
      <c r="J27" s="4"/>
      <c r="K27" s="4"/>
      <c r="L27" s="4"/>
      <c r="M27" s="4"/>
      <c r="W27" s="177"/>
    </row>
    <row r="28" spans="1:31" ht="15.95" customHeight="1" x14ac:dyDescent="0.25">
      <c r="D28" s="84"/>
      <c r="E28" s="235"/>
      <c r="F28" s="235"/>
      <c r="G28" s="95"/>
      <c r="H28" s="95"/>
      <c r="I28" s="95"/>
      <c r="J28" s="95"/>
      <c r="K28" s="95"/>
      <c r="O28" s="90"/>
      <c r="P28" s="90"/>
      <c r="S28" s="91"/>
      <c r="T28" s="91"/>
      <c r="V28" s="91"/>
      <c r="W28" s="177"/>
      <c r="X28" s="91"/>
      <c r="Y28" s="91"/>
      <c r="Z28" s="91"/>
      <c r="AA28" s="91"/>
      <c r="AB28" s="91"/>
      <c r="AC28" s="91"/>
      <c r="AD28" s="91"/>
      <c r="AE28" s="91"/>
    </row>
    <row r="29" spans="1:31" ht="45" customHeight="1" x14ac:dyDescent="0.25">
      <c r="A29" s="90"/>
      <c r="B29" s="212" t="s">
        <v>92</v>
      </c>
      <c r="C29" s="212"/>
      <c r="D29" s="213"/>
      <c r="E29" s="216">
        <v>3000</v>
      </c>
      <c r="F29" s="217"/>
      <c r="G29" s="217"/>
      <c r="H29" s="217"/>
      <c r="I29" s="217"/>
      <c r="J29" s="217"/>
      <c r="K29" s="217"/>
      <c r="L29" s="217"/>
      <c r="M29" s="218"/>
      <c r="N29" s="92" t="str">
        <f t="shared" ref="N29:N37" si="0">CHOOSE($R$2,$S$2,$S$3,$S$4,$S$5)</f>
        <v>RUB</v>
      </c>
      <c r="O29" s="93"/>
      <c r="R29" s="91"/>
      <c r="S29" s="91"/>
      <c r="T29" s="91"/>
      <c r="V29" s="91"/>
      <c r="W29" s="177"/>
      <c r="X29" s="91"/>
      <c r="Y29" s="91"/>
      <c r="Z29" s="91"/>
      <c r="AA29" s="91"/>
      <c r="AB29" s="91"/>
      <c r="AC29" s="91"/>
      <c r="AD29" s="91"/>
    </row>
    <row r="30" spans="1:31" ht="45" customHeight="1" x14ac:dyDescent="0.25">
      <c r="A30" s="90"/>
      <c r="B30" s="224" t="s">
        <v>119</v>
      </c>
      <c r="C30" s="224"/>
      <c r="D30" s="225"/>
      <c r="E30" s="216">
        <v>2000</v>
      </c>
      <c r="F30" s="217"/>
      <c r="G30" s="217"/>
      <c r="H30" s="217"/>
      <c r="I30" s="217"/>
      <c r="J30" s="217"/>
      <c r="K30" s="217"/>
      <c r="L30" s="217"/>
      <c r="M30" s="218"/>
      <c r="N30" s="92" t="str">
        <f t="shared" si="0"/>
        <v>RUB</v>
      </c>
      <c r="O30" s="93"/>
      <c r="R30" s="91"/>
      <c r="S30" s="91"/>
      <c r="T30" s="91"/>
      <c r="V30" s="91"/>
      <c r="W30" s="177"/>
      <c r="X30" s="91"/>
      <c r="Y30" s="91"/>
      <c r="Z30" s="91"/>
      <c r="AA30" s="91"/>
      <c r="AB30" s="91"/>
      <c r="AC30" s="91"/>
      <c r="AD30" s="91"/>
    </row>
    <row r="31" spans="1:31" ht="45" customHeight="1" x14ac:dyDescent="0.25">
      <c r="A31" s="90"/>
      <c r="B31" s="224" t="s">
        <v>120</v>
      </c>
      <c r="C31" s="224"/>
      <c r="D31" s="225"/>
      <c r="E31" s="216">
        <v>2000</v>
      </c>
      <c r="F31" s="217"/>
      <c r="G31" s="217"/>
      <c r="H31" s="217"/>
      <c r="I31" s="217"/>
      <c r="J31" s="217"/>
      <c r="K31" s="217"/>
      <c r="L31" s="217"/>
      <c r="M31" s="218"/>
      <c r="N31" s="92" t="str">
        <f t="shared" si="0"/>
        <v>RUB</v>
      </c>
      <c r="O31" s="93"/>
      <c r="R31" s="91"/>
      <c r="S31" s="91"/>
      <c r="T31" s="91"/>
      <c r="V31" s="91"/>
      <c r="W31" s="177"/>
      <c r="X31" s="91"/>
      <c r="Y31" s="91"/>
      <c r="Z31" s="91"/>
      <c r="AA31" s="91"/>
      <c r="AB31" s="91"/>
      <c r="AC31" s="91"/>
      <c r="AD31" s="91"/>
    </row>
    <row r="32" spans="1:31" ht="45" customHeight="1" x14ac:dyDescent="0.25">
      <c r="A32" s="90"/>
      <c r="B32" s="224" t="s">
        <v>121</v>
      </c>
      <c r="C32" s="224"/>
      <c r="D32" s="225"/>
      <c r="E32" s="216">
        <v>8000</v>
      </c>
      <c r="F32" s="217"/>
      <c r="G32" s="217"/>
      <c r="H32" s="217"/>
      <c r="I32" s="217"/>
      <c r="J32" s="217"/>
      <c r="K32" s="217"/>
      <c r="L32" s="217"/>
      <c r="M32" s="218"/>
      <c r="N32" s="92" t="str">
        <f t="shared" si="0"/>
        <v>RUB</v>
      </c>
      <c r="O32" s="93"/>
      <c r="R32" s="91"/>
      <c r="S32" s="91"/>
      <c r="T32" s="91"/>
      <c r="V32" s="91"/>
      <c r="W32" s="177"/>
      <c r="X32" s="91"/>
      <c r="Y32" s="91"/>
      <c r="Z32" s="91"/>
      <c r="AA32" s="91"/>
      <c r="AB32" s="91"/>
      <c r="AC32" s="91"/>
      <c r="AD32" s="91"/>
    </row>
    <row r="33" spans="1:30" ht="45" customHeight="1" x14ac:dyDescent="0.25">
      <c r="A33" s="155"/>
      <c r="B33" s="212" t="s">
        <v>87</v>
      </c>
      <c r="C33" s="212"/>
      <c r="D33" s="213"/>
      <c r="E33" s="216">
        <v>0</v>
      </c>
      <c r="F33" s="217"/>
      <c r="G33" s="217"/>
      <c r="H33" s="217"/>
      <c r="I33" s="217"/>
      <c r="J33" s="217"/>
      <c r="K33" s="217"/>
      <c r="L33" s="217"/>
      <c r="M33" s="218"/>
      <c r="N33" s="92" t="str">
        <f t="shared" si="0"/>
        <v>RUB</v>
      </c>
      <c r="O33" s="93"/>
      <c r="R33" s="91"/>
      <c r="S33" s="91"/>
      <c r="T33" s="91"/>
      <c r="U33" s="91"/>
      <c r="V33" s="91"/>
      <c r="W33" s="177"/>
      <c r="X33" s="91"/>
      <c r="Y33" s="91"/>
      <c r="Z33" s="91"/>
      <c r="AA33" s="91"/>
      <c r="AB33" s="91"/>
      <c r="AC33" s="91"/>
      <c r="AD33" s="91"/>
    </row>
    <row r="34" spans="1:30" ht="45" customHeight="1" x14ac:dyDescent="0.25">
      <c r="A34" s="155"/>
      <c r="B34" s="212" t="s">
        <v>93</v>
      </c>
      <c r="C34" s="212"/>
      <c r="D34" s="213"/>
      <c r="E34" s="216">
        <v>9000</v>
      </c>
      <c r="F34" s="217"/>
      <c r="G34" s="217"/>
      <c r="H34" s="217"/>
      <c r="I34" s="217"/>
      <c r="J34" s="217"/>
      <c r="K34" s="217"/>
      <c r="L34" s="217"/>
      <c r="M34" s="218"/>
      <c r="N34" s="92" t="str">
        <f t="shared" si="0"/>
        <v>RUB</v>
      </c>
      <c r="O34" s="93"/>
      <c r="R34" s="91"/>
      <c r="S34" s="91"/>
      <c r="T34" s="91"/>
      <c r="U34" s="91"/>
      <c r="V34" s="91"/>
      <c r="W34" s="177"/>
      <c r="X34" s="91"/>
      <c r="Y34" s="91"/>
      <c r="Z34" s="91"/>
      <c r="AA34" s="91"/>
      <c r="AB34" s="91"/>
      <c r="AC34" s="91"/>
      <c r="AD34" s="91"/>
    </row>
    <row r="35" spans="1:30" ht="45" customHeight="1" x14ac:dyDescent="0.25">
      <c r="A35" s="90"/>
      <c r="B35" s="212" t="s">
        <v>2</v>
      </c>
      <c r="C35" s="212"/>
      <c r="D35" s="213"/>
      <c r="E35" s="216">
        <v>0</v>
      </c>
      <c r="F35" s="217"/>
      <c r="G35" s="217"/>
      <c r="H35" s="217"/>
      <c r="I35" s="217"/>
      <c r="J35" s="217"/>
      <c r="K35" s="217"/>
      <c r="L35" s="217"/>
      <c r="M35" s="218"/>
      <c r="N35" s="92" t="str">
        <f t="shared" si="0"/>
        <v>RUB</v>
      </c>
      <c r="O35" s="93"/>
      <c r="R35" s="91"/>
      <c r="S35" s="91"/>
      <c r="T35" s="91"/>
      <c r="V35" s="91"/>
      <c r="W35" s="177"/>
      <c r="X35" s="91"/>
      <c r="Y35" s="91"/>
      <c r="Z35" s="91"/>
      <c r="AA35" s="91"/>
      <c r="AB35" s="91"/>
      <c r="AC35" s="91"/>
      <c r="AD35" s="91"/>
    </row>
    <row r="36" spans="1:30" ht="45" customHeight="1" x14ac:dyDescent="0.25">
      <c r="A36" s="90"/>
      <c r="B36" s="212" t="s">
        <v>122</v>
      </c>
      <c r="C36" s="212"/>
      <c r="D36" s="213"/>
      <c r="E36" s="194">
        <f>CHOOSE($V$2,'Франчайзинговые пакеты'!B5,'Франчайзинговые пакеты'!B6,'Франчайзинговые пакеты'!B7,'Франчайзинговые пакеты'!B8)</f>
        <v>97000</v>
      </c>
      <c r="F36" s="195"/>
      <c r="G36" s="195"/>
      <c r="H36" s="195"/>
      <c r="I36" s="195"/>
      <c r="J36" s="195"/>
      <c r="K36" s="195"/>
      <c r="L36" s="195"/>
      <c r="M36" s="196"/>
      <c r="N36" s="92" t="str">
        <f t="shared" si="0"/>
        <v>RUB</v>
      </c>
      <c r="O36" s="93"/>
      <c r="R36" s="91"/>
      <c r="S36" s="91"/>
      <c r="T36" s="91"/>
      <c r="U36" s="91"/>
      <c r="V36" s="91"/>
      <c r="W36" s="177"/>
      <c r="X36" s="91"/>
      <c r="Y36" s="91"/>
      <c r="Z36" s="91"/>
      <c r="AA36" s="91"/>
      <c r="AB36" s="91"/>
      <c r="AC36" s="91"/>
      <c r="AD36" s="91"/>
    </row>
    <row r="37" spans="1:30" ht="45" customHeight="1" x14ac:dyDescent="0.25">
      <c r="A37" s="90"/>
      <c r="B37" s="214" t="s">
        <v>0</v>
      </c>
      <c r="C37" s="214"/>
      <c r="D37" s="215"/>
      <c r="E37" s="219">
        <f>SUM(E29:M36)</f>
        <v>121000</v>
      </c>
      <c r="F37" s="220"/>
      <c r="G37" s="220"/>
      <c r="H37" s="220"/>
      <c r="I37" s="220"/>
      <c r="J37" s="220"/>
      <c r="K37" s="220"/>
      <c r="L37" s="220"/>
      <c r="M37" s="221"/>
      <c r="N37" s="92" t="str">
        <f t="shared" si="0"/>
        <v>RUB</v>
      </c>
      <c r="O37" s="93"/>
      <c r="P37" s="108"/>
      <c r="R37" s="91"/>
      <c r="T37" s="91"/>
      <c r="U37" s="91"/>
      <c r="V37" s="91"/>
      <c r="W37" s="177"/>
      <c r="X37" s="91"/>
      <c r="Y37" s="91"/>
      <c r="Z37" s="91"/>
      <c r="AA37" s="91"/>
      <c r="AB37" s="91"/>
      <c r="AC37" s="91"/>
      <c r="AD37" s="91"/>
    </row>
    <row r="38" spans="1:30" ht="27.4" customHeight="1" x14ac:dyDescent="0.25">
      <c r="A38" s="241" t="s">
        <v>123</v>
      </c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93"/>
      <c r="R38" s="91"/>
      <c r="T38" s="91"/>
      <c r="U38" s="91"/>
      <c r="V38" s="91"/>
      <c r="W38" s="177"/>
      <c r="X38" s="91"/>
      <c r="Y38" s="91"/>
      <c r="Z38" s="91"/>
      <c r="AA38" s="91"/>
      <c r="AB38" s="91"/>
      <c r="AC38" s="91"/>
      <c r="AD38" s="91"/>
    </row>
    <row r="39" spans="1:30" ht="48" customHeight="1" x14ac:dyDescent="0.3">
      <c r="A39" s="83" t="s">
        <v>67</v>
      </c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93"/>
      <c r="R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</row>
    <row r="40" spans="1:30" ht="58.15" customHeight="1" x14ac:dyDescent="0.25">
      <c r="A40" s="208" t="s">
        <v>68</v>
      </c>
      <c r="B40" s="208"/>
      <c r="C40" s="208"/>
      <c r="D40" s="208" t="s">
        <v>69</v>
      </c>
      <c r="E40" s="208"/>
      <c r="F40" s="208" t="str">
        <f>"Фиксированный оклад, "&amp;CHOOSE(R2,S2,S3,S4,S5)&amp;"/на 1 сотрудника в месяц"</f>
        <v>Фиксированный оклад, RUB/на 1 сотрудника в месяц</v>
      </c>
      <c r="G40" s="208"/>
      <c r="H40" s="208"/>
      <c r="I40" s="208" t="s">
        <v>81</v>
      </c>
      <c r="J40" s="208"/>
      <c r="K40" s="208"/>
      <c r="L40" s="208" t="s">
        <v>95</v>
      </c>
      <c r="M40" s="208"/>
      <c r="N40" s="208"/>
      <c r="O40" s="93"/>
      <c r="R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</row>
    <row r="41" spans="1:30" s="1" customFormat="1" ht="30" customHeight="1" x14ac:dyDescent="0.25">
      <c r="A41" s="233" t="s">
        <v>99</v>
      </c>
      <c r="B41" s="233"/>
      <c r="C41" s="233"/>
      <c r="D41" s="210"/>
      <c r="E41" s="210"/>
      <c r="F41" s="210"/>
      <c r="G41" s="210"/>
      <c r="H41" s="210"/>
      <c r="I41" s="211"/>
      <c r="J41" s="211"/>
      <c r="K41" s="211"/>
      <c r="L41" s="209" t="s">
        <v>94</v>
      </c>
      <c r="M41" s="209"/>
      <c r="N41" s="209"/>
      <c r="O41" s="93"/>
      <c r="Q41" s="168"/>
      <c r="R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</row>
    <row r="42" spans="1:30" s="1" customFormat="1" ht="30" customHeight="1" x14ac:dyDescent="0.25">
      <c r="A42" s="233" t="s">
        <v>126</v>
      </c>
      <c r="B42" s="233"/>
      <c r="C42" s="233"/>
      <c r="D42" s="210">
        <v>1</v>
      </c>
      <c r="E42" s="210"/>
      <c r="F42" s="210">
        <v>12000</v>
      </c>
      <c r="G42" s="210"/>
      <c r="H42" s="210"/>
      <c r="I42" s="211">
        <v>0.01</v>
      </c>
      <c r="J42" s="211"/>
      <c r="K42" s="211"/>
      <c r="L42" s="209" t="s">
        <v>94</v>
      </c>
      <c r="M42" s="209"/>
      <c r="N42" s="209"/>
      <c r="O42" s="93"/>
      <c r="Q42" s="168"/>
      <c r="R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</row>
    <row r="43" spans="1:30" s="1" customFormat="1" ht="30" customHeight="1" x14ac:dyDescent="0.25">
      <c r="A43" s="233"/>
      <c r="B43" s="233"/>
      <c r="C43" s="233"/>
      <c r="D43" s="210"/>
      <c r="E43" s="210"/>
      <c r="F43" s="210"/>
      <c r="G43" s="210"/>
      <c r="H43" s="210"/>
      <c r="I43" s="211"/>
      <c r="J43" s="211"/>
      <c r="K43" s="211"/>
      <c r="L43" s="209" t="s">
        <v>94</v>
      </c>
      <c r="M43" s="209"/>
      <c r="N43" s="209"/>
      <c r="O43" s="93"/>
      <c r="Q43" s="168"/>
      <c r="R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</row>
    <row r="44" spans="1:30" s="1" customFormat="1" ht="30" customHeight="1" x14ac:dyDescent="0.25">
      <c r="A44" s="233"/>
      <c r="B44" s="233"/>
      <c r="C44" s="233"/>
      <c r="D44" s="210"/>
      <c r="E44" s="210"/>
      <c r="F44" s="210"/>
      <c r="G44" s="210"/>
      <c r="H44" s="210"/>
      <c r="I44" s="211"/>
      <c r="J44" s="211"/>
      <c r="K44" s="211"/>
      <c r="L44" s="209" t="s">
        <v>94</v>
      </c>
      <c r="M44" s="209"/>
      <c r="N44" s="209"/>
      <c r="O44" s="93"/>
      <c r="Q44" s="168"/>
      <c r="R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</row>
    <row r="45" spans="1:30" ht="18" customHeight="1" x14ac:dyDescent="0.3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93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</row>
    <row r="46" spans="1:30" ht="48" customHeight="1" x14ac:dyDescent="0.25">
      <c r="A46" s="83" t="s">
        <v>1</v>
      </c>
      <c r="D46" s="201" t="s">
        <v>78</v>
      </c>
      <c r="E46" s="201"/>
      <c r="F46" s="201"/>
      <c r="G46" s="201"/>
      <c r="H46" s="185"/>
      <c r="I46" s="185"/>
      <c r="J46" s="187" t="s">
        <v>128</v>
      </c>
      <c r="K46" s="187"/>
      <c r="L46" s="187"/>
      <c r="M46" s="187"/>
      <c r="N46" s="4"/>
      <c r="P46" s="1"/>
    </row>
    <row r="47" spans="1:30" ht="42" customHeight="1" x14ac:dyDescent="0.25">
      <c r="A47" s="2"/>
      <c r="B47" s="212" t="s">
        <v>45</v>
      </c>
      <c r="C47" s="212"/>
      <c r="D47" s="202">
        <f>J47/'Детальный расчет'!$P$20</f>
        <v>4.4830749165876121E-2</v>
      </c>
      <c r="E47" s="202"/>
      <c r="F47" s="202"/>
      <c r="G47" s="202"/>
      <c r="H47" s="198"/>
      <c r="I47" s="199"/>
      <c r="J47" s="188">
        <f>'Детальный расчет'!P43</f>
        <v>15445.231666666667</v>
      </c>
      <c r="K47" s="189"/>
      <c r="L47" s="189"/>
      <c r="M47" s="190"/>
      <c r="N47" s="158" t="str">
        <f>""&amp;CHOOSE($R$2,$S$2,$S$3,$S$4,$S$5)&amp;"/мес."</f>
        <v>RUB/мес.</v>
      </c>
    </row>
    <row r="48" spans="1:30" ht="42" customHeight="1" x14ac:dyDescent="0.25">
      <c r="A48" s="137"/>
      <c r="B48" s="237" t="s">
        <v>96</v>
      </c>
      <c r="C48" s="237"/>
      <c r="D48" s="203">
        <v>0.02</v>
      </c>
      <c r="E48" s="203"/>
      <c r="F48" s="203"/>
      <c r="G48" s="203"/>
      <c r="H48" s="204" t="s">
        <v>90</v>
      </c>
      <c r="I48" s="205"/>
      <c r="J48" s="188">
        <f>'Детальный расчет'!P44</f>
        <v>6890.4633333333331</v>
      </c>
      <c r="K48" s="189"/>
      <c r="L48" s="189"/>
      <c r="M48" s="190"/>
      <c r="N48" s="158" t="str">
        <f t="shared" ref="N48:N56" si="1">""&amp;CHOOSE($R$2,$S$2,$S$3,$S$4,$S$5)&amp;"/мес."</f>
        <v>RUB/мес.</v>
      </c>
      <c r="O48" s="171"/>
    </row>
    <row r="49" spans="1:31" ht="42" customHeight="1" x14ac:dyDescent="0.25">
      <c r="A49" s="137"/>
      <c r="B49" s="212" t="s">
        <v>91</v>
      </c>
      <c r="C49" s="212"/>
      <c r="D49" s="202">
        <f>J49/'Детальный расчет'!$P$20</f>
        <v>4.3538436457345148E-2</v>
      </c>
      <c r="E49" s="202"/>
      <c r="F49" s="202"/>
      <c r="G49" s="202"/>
      <c r="H49" s="204"/>
      <c r="I49" s="205"/>
      <c r="J49" s="191">
        <v>15000</v>
      </c>
      <c r="K49" s="192"/>
      <c r="L49" s="192"/>
      <c r="M49" s="193"/>
      <c r="N49" s="158" t="str">
        <f t="shared" si="1"/>
        <v>RUB/мес.</v>
      </c>
      <c r="O49" s="171"/>
    </row>
    <row r="50" spans="1:31" ht="42" customHeight="1" x14ac:dyDescent="0.25">
      <c r="A50" s="94"/>
      <c r="B50" s="237" t="s">
        <v>76</v>
      </c>
      <c r="C50" s="237"/>
      <c r="D50" s="202">
        <f>J50/'Детальный расчет'!$P$20</f>
        <v>0.6986862501516965</v>
      </c>
      <c r="E50" s="202"/>
      <c r="F50" s="202"/>
      <c r="G50" s="202"/>
      <c r="H50" s="206"/>
      <c r="I50" s="207"/>
      <c r="J50" s="194">
        <f>'Детальный расчет'!P29</f>
        <v>240713.59940872132</v>
      </c>
      <c r="K50" s="195"/>
      <c r="L50" s="195"/>
      <c r="M50" s="196"/>
      <c r="N50" s="158" t="str">
        <f t="shared" si="1"/>
        <v>RUB/мес.</v>
      </c>
    </row>
    <row r="51" spans="1:31" ht="42" customHeight="1" x14ac:dyDescent="0.25">
      <c r="A51" s="90"/>
      <c r="B51" s="236" t="s">
        <v>57</v>
      </c>
      <c r="C51" s="236"/>
      <c r="D51" s="202">
        <f>J51/'Детальный расчет'!$P$20</f>
        <v>2.6123061874407091E-2</v>
      </c>
      <c r="E51" s="202"/>
      <c r="F51" s="202"/>
      <c r="G51" s="202"/>
      <c r="H51" s="198"/>
      <c r="I51" s="199"/>
      <c r="J51" s="191">
        <v>9000</v>
      </c>
      <c r="K51" s="192"/>
      <c r="L51" s="192"/>
      <c r="M51" s="193"/>
      <c r="N51" s="158" t="str">
        <f t="shared" si="1"/>
        <v>RUB/мес.</v>
      </c>
      <c r="O51" s="96"/>
      <c r="P51" s="90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42" customHeight="1" x14ac:dyDescent="0.25">
      <c r="A52" s="90"/>
      <c r="B52" s="236" t="s">
        <v>58</v>
      </c>
      <c r="C52" s="236"/>
      <c r="D52" s="202">
        <f>J52/'Детальный расчет'!$P$20</f>
        <v>4.3538436457345149E-3</v>
      </c>
      <c r="E52" s="202"/>
      <c r="F52" s="202"/>
      <c r="G52" s="202"/>
      <c r="H52" s="198"/>
      <c r="I52" s="199"/>
      <c r="J52" s="191">
        <v>1500</v>
      </c>
      <c r="K52" s="192"/>
      <c r="L52" s="192"/>
      <c r="M52" s="193"/>
      <c r="N52" s="158" t="str">
        <f t="shared" si="1"/>
        <v>RUB/мес.</v>
      </c>
      <c r="O52" s="96"/>
      <c r="P52" s="90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42" customHeight="1" x14ac:dyDescent="0.25">
      <c r="A53" s="2"/>
      <c r="B53" s="212" t="s">
        <v>50</v>
      </c>
      <c r="C53" s="212"/>
      <c r="D53" s="202">
        <f>(J53/2)/'Детальный расчет'!$P$20</f>
        <v>0</v>
      </c>
      <c r="E53" s="202"/>
      <c r="F53" s="202"/>
      <c r="G53" s="202"/>
      <c r="H53" s="198"/>
      <c r="I53" s="199"/>
      <c r="J53" s="191"/>
      <c r="K53" s="192"/>
      <c r="L53" s="192"/>
      <c r="M53" s="193"/>
      <c r="N53" s="158" t="str">
        <f t="shared" si="1"/>
        <v>RUB/мес.</v>
      </c>
    </row>
    <row r="54" spans="1:31" ht="42" customHeight="1" x14ac:dyDescent="0.25">
      <c r="A54" s="2"/>
      <c r="B54" s="212" t="s">
        <v>77</v>
      </c>
      <c r="C54" s="212"/>
      <c r="D54" s="202">
        <f>J54/'Детальный расчет'!$P$20</f>
        <v>8.7076872914690297E-4</v>
      </c>
      <c r="E54" s="202"/>
      <c r="F54" s="202"/>
      <c r="G54" s="202"/>
      <c r="H54" s="198"/>
      <c r="I54" s="199"/>
      <c r="J54" s="191">
        <v>300</v>
      </c>
      <c r="K54" s="192"/>
      <c r="L54" s="192"/>
      <c r="M54" s="193"/>
      <c r="N54" s="158" t="str">
        <f t="shared" si="1"/>
        <v>RUB/мес.</v>
      </c>
    </row>
    <row r="55" spans="1:31" ht="42" customHeight="1" x14ac:dyDescent="0.25">
      <c r="A55" s="2"/>
      <c r="B55" s="248" t="s">
        <v>70</v>
      </c>
      <c r="C55" s="248"/>
      <c r="D55" s="202">
        <f>(J55/6)/'Детальный расчет'!$P$20</f>
        <v>4.5957238482753214E-4</v>
      </c>
      <c r="E55" s="202"/>
      <c r="F55" s="202"/>
      <c r="G55" s="202"/>
      <c r="H55" s="198"/>
      <c r="I55" s="199"/>
      <c r="J55" s="191">
        <v>950</v>
      </c>
      <c r="K55" s="192"/>
      <c r="L55" s="192"/>
      <c r="M55" s="193"/>
      <c r="N55" s="158" t="str">
        <f t="shared" si="1"/>
        <v>RUB/мес.</v>
      </c>
    </row>
    <row r="56" spans="1:31" ht="42" customHeight="1" x14ac:dyDescent="0.25">
      <c r="A56" s="2"/>
      <c r="B56" s="212" t="s">
        <v>75</v>
      </c>
      <c r="C56" s="212"/>
      <c r="D56" s="202">
        <f>J56/'Детальный расчет'!$P$20</f>
        <v>0</v>
      </c>
      <c r="E56" s="202"/>
      <c r="F56" s="202"/>
      <c r="G56" s="202"/>
      <c r="H56" s="198"/>
      <c r="I56" s="199"/>
      <c r="J56" s="191"/>
      <c r="K56" s="192"/>
      <c r="L56" s="192"/>
      <c r="M56" s="193"/>
      <c r="N56" s="158" t="str">
        <f t="shared" si="1"/>
        <v>RUB/мес.</v>
      </c>
    </row>
    <row r="57" spans="1:31" ht="42" customHeight="1" x14ac:dyDescent="0.25">
      <c r="A57" s="90"/>
      <c r="B57" s="212" t="s">
        <v>89</v>
      </c>
      <c r="C57" s="212"/>
      <c r="D57" s="203">
        <v>0.02</v>
      </c>
      <c r="E57" s="203"/>
      <c r="F57" s="203"/>
      <c r="G57" s="203"/>
      <c r="H57" s="204" t="s">
        <v>127</v>
      </c>
      <c r="I57" s="205"/>
      <c r="J57" s="188">
        <f>'Детальный расчет'!P52</f>
        <v>4814.271988174427</v>
      </c>
      <c r="K57" s="189"/>
      <c r="L57" s="189"/>
      <c r="M57" s="190"/>
      <c r="N57" s="158" t="str">
        <f>""&amp;CHOOSE($R$2,$S$2,$S$3,$S$4,$S$5)&amp;"/мес."</f>
        <v>RUB/мес.</v>
      </c>
    </row>
    <row r="58" spans="1:31" ht="42" customHeight="1" x14ac:dyDescent="0.25">
      <c r="A58" s="2"/>
      <c r="B58" s="212" t="s">
        <v>71</v>
      </c>
      <c r="C58" s="212"/>
      <c r="D58" s="202">
        <f>J58/'Детальный расчет'!$P$20</f>
        <v>8.7076872914690299E-3</v>
      </c>
      <c r="E58" s="202"/>
      <c r="F58" s="202"/>
      <c r="G58" s="202"/>
      <c r="H58" s="198"/>
      <c r="I58" s="199"/>
      <c r="J58" s="191">
        <v>3000</v>
      </c>
      <c r="K58" s="192"/>
      <c r="L58" s="192"/>
      <c r="M58" s="193"/>
      <c r="N58" s="158" t="str">
        <f>""&amp;CHOOSE($R$2,$S$2,$S$3,$S$4,$S$5)&amp;"/мес."</f>
        <v>RUB/мес.</v>
      </c>
    </row>
    <row r="59" spans="1:31" ht="42" customHeight="1" x14ac:dyDescent="0.25">
      <c r="A59" s="2"/>
      <c r="B59" s="212" t="s">
        <v>79</v>
      </c>
      <c r="C59" s="212"/>
      <c r="D59" s="202">
        <f>J59/'Детальный расчет'!$P$20</f>
        <v>0</v>
      </c>
      <c r="E59" s="202"/>
      <c r="F59" s="202"/>
      <c r="G59" s="202"/>
      <c r="H59" s="198"/>
      <c r="I59" s="199"/>
      <c r="J59" s="191"/>
      <c r="K59" s="192"/>
      <c r="L59" s="192"/>
      <c r="M59" s="193"/>
      <c r="N59" s="158" t="str">
        <f t="shared" ref="N59:N63" si="2">""&amp;CHOOSE($R$2,$S$2,$S$3,$S$4,$S$5)&amp;"/мес."</f>
        <v>RUB/мес.</v>
      </c>
    </row>
    <row r="60" spans="1:31" ht="42" customHeight="1" x14ac:dyDescent="0.25">
      <c r="A60" s="2"/>
      <c r="B60" s="212" t="s">
        <v>97</v>
      </c>
      <c r="C60" s="212"/>
      <c r="D60" s="202">
        <f>J60/'Детальный расчет'!$P$20</f>
        <v>0</v>
      </c>
      <c r="E60" s="202"/>
      <c r="F60" s="202"/>
      <c r="G60" s="202"/>
      <c r="H60" s="198"/>
      <c r="I60" s="199"/>
      <c r="J60" s="191"/>
      <c r="K60" s="192"/>
      <c r="L60" s="192"/>
      <c r="M60" s="193"/>
      <c r="N60" s="158" t="str">
        <f t="shared" si="2"/>
        <v>RUB/мес.</v>
      </c>
    </row>
    <row r="61" spans="1:31" ht="42" customHeight="1" x14ac:dyDescent="0.25">
      <c r="A61" s="2"/>
      <c r="B61" s="212" t="s">
        <v>88</v>
      </c>
      <c r="C61" s="212"/>
      <c r="D61" s="202">
        <f>R61/'Детальный расчет'!$P$20</f>
        <v>0</v>
      </c>
      <c r="E61" s="202"/>
      <c r="F61" s="202"/>
      <c r="G61" s="202"/>
      <c r="H61" s="198"/>
      <c r="I61" s="199"/>
      <c r="J61" s="191"/>
      <c r="K61" s="192"/>
      <c r="L61" s="192"/>
      <c r="M61" s="193"/>
      <c r="N61" s="158" t="str">
        <f t="shared" si="2"/>
        <v>RUB/мес.</v>
      </c>
      <c r="R61" s="108"/>
    </row>
    <row r="62" spans="1:31" ht="42" customHeight="1" x14ac:dyDescent="0.25">
      <c r="A62" s="2"/>
      <c r="B62" s="212" t="s">
        <v>2</v>
      </c>
      <c r="C62" s="212"/>
      <c r="D62" s="202">
        <f>J62/'Детальный расчет'!$P$20</f>
        <v>0</v>
      </c>
      <c r="E62" s="202"/>
      <c r="F62" s="202"/>
      <c r="G62" s="202"/>
      <c r="H62" s="198"/>
      <c r="I62" s="199"/>
      <c r="J62" s="191"/>
      <c r="K62" s="192"/>
      <c r="L62" s="192"/>
      <c r="M62" s="193"/>
      <c r="N62" s="158" t="str">
        <f t="shared" si="2"/>
        <v>RUB/мес.</v>
      </c>
    </row>
    <row r="63" spans="1:31" ht="42" customHeight="1" x14ac:dyDescent="0.25">
      <c r="A63" s="2"/>
      <c r="B63" s="245" t="s">
        <v>3</v>
      </c>
      <c r="C63" s="245"/>
      <c r="D63" s="186">
        <f>SUM(D47:G62)</f>
        <v>0.86757036970050283</v>
      </c>
      <c r="E63" s="186"/>
      <c r="F63" s="186"/>
      <c r="G63" s="186"/>
      <c r="H63" s="200"/>
      <c r="I63" s="200"/>
      <c r="J63" s="197">
        <f>SUM(J47:M62)</f>
        <v>297613.56639689574</v>
      </c>
      <c r="K63" s="197"/>
      <c r="L63" s="197"/>
      <c r="M63" s="197"/>
      <c r="N63" s="158" t="str">
        <f t="shared" si="2"/>
        <v>RUB/мес.</v>
      </c>
    </row>
    <row r="64" spans="1:31" ht="20.45" customHeight="1" x14ac:dyDescent="0.3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93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</row>
    <row r="65" spans="1:14" x14ac:dyDescent="0.25">
      <c r="A65" s="2"/>
      <c r="B65" s="2"/>
      <c r="C65" s="2"/>
      <c r="D65" s="2"/>
      <c r="E65" s="2"/>
      <c r="F65" s="2"/>
      <c r="G65" s="7"/>
      <c r="H65" s="7"/>
      <c r="I65" s="7"/>
      <c r="J65" s="7"/>
      <c r="K65" s="7"/>
      <c r="L65" s="7"/>
      <c r="M65" s="7"/>
      <c r="N65" s="2"/>
    </row>
    <row r="66" spans="1:14" ht="45" customHeight="1" x14ac:dyDescent="0.25">
      <c r="A66" s="242" t="s">
        <v>59</v>
      </c>
      <c r="B66" s="242"/>
      <c r="C66" s="243"/>
      <c r="D66" s="240">
        <f>'Детальный расчет'!P67</f>
        <v>46909.60026977089</v>
      </c>
      <c r="E66" s="240"/>
      <c r="F66" s="240"/>
      <c r="G66" s="240"/>
      <c r="H66" s="240"/>
      <c r="I66" s="240"/>
      <c r="J66" s="240"/>
      <c r="K66" s="240"/>
      <c r="L66" s="240"/>
      <c r="M66" s="240"/>
      <c r="N66" s="158" t="str">
        <f>""&amp;CHOOSE($R$2,$S$2,$S$3,$S$4,$S$5)&amp;"/мес."</f>
        <v>RUB/мес.</v>
      </c>
    </row>
    <row r="67" spans="1:14" ht="6.95" customHeight="1" x14ac:dyDescent="0.25">
      <c r="A67" s="2"/>
      <c r="B67" s="2"/>
      <c r="C67" s="2"/>
      <c r="D67" s="2"/>
      <c r="E67" s="2"/>
      <c r="F67" s="2"/>
      <c r="L67" s="7"/>
      <c r="M67" s="7"/>
      <c r="N67" s="159"/>
    </row>
    <row r="68" spans="1:14" ht="45" customHeight="1" x14ac:dyDescent="0.25">
      <c r="A68" s="242" t="s">
        <v>60</v>
      </c>
      <c r="B68" s="242"/>
      <c r="C68" s="243"/>
      <c r="D68" s="240">
        <f>'Детальный расчет'!AD67</f>
        <v>46909.60026977089</v>
      </c>
      <c r="E68" s="240"/>
      <c r="F68" s="240"/>
      <c r="G68" s="240"/>
      <c r="H68" s="240"/>
      <c r="I68" s="240"/>
      <c r="J68" s="240"/>
      <c r="K68" s="240"/>
      <c r="L68" s="240"/>
      <c r="M68" s="240"/>
      <c r="N68" s="158" t="str">
        <f>""&amp;CHOOSE($R$2,$S$2,$S$3,$S$4,$S$5)&amp;"/мес."</f>
        <v>RUB/мес.</v>
      </c>
    </row>
    <row r="69" spans="1:14" ht="6.95" customHeight="1" x14ac:dyDescent="0.25">
      <c r="A69" s="2"/>
      <c r="B69" s="2"/>
      <c r="C69" s="2"/>
      <c r="D69" s="2"/>
      <c r="E69" s="2"/>
      <c r="F69" s="2"/>
      <c r="L69" s="7"/>
      <c r="M69" s="7"/>
      <c r="N69" s="159"/>
    </row>
    <row r="70" spans="1:14" ht="45" customHeight="1" x14ac:dyDescent="0.25">
      <c r="A70" s="242" t="s">
        <v>61</v>
      </c>
      <c r="B70" s="242"/>
      <c r="C70" s="243"/>
      <c r="D70" s="249">
        <f>'Детальный расчет'!AR67</f>
        <v>46909.60026977089</v>
      </c>
      <c r="E70" s="249"/>
      <c r="F70" s="249"/>
      <c r="G70" s="249"/>
      <c r="H70" s="249"/>
      <c r="I70" s="249"/>
      <c r="J70" s="249"/>
      <c r="K70" s="249"/>
      <c r="L70" s="249"/>
      <c r="M70" s="249"/>
      <c r="N70" s="158" t="str">
        <f>""&amp;CHOOSE($R$2,$S$2,$S$3,$S$4,$S$5)&amp;"/мес."</f>
        <v>RUB/мес.</v>
      </c>
    </row>
    <row r="71" spans="1:14" ht="6.95" customHeight="1" x14ac:dyDescent="0.25">
      <c r="A71" s="2"/>
      <c r="B71" s="2"/>
      <c r="C71" s="2"/>
      <c r="D71" s="2"/>
      <c r="E71" s="2"/>
      <c r="F71" s="2"/>
      <c r="L71" s="7"/>
      <c r="M71" s="7"/>
      <c r="N71" s="7"/>
    </row>
    <row r="72" spans="1:14" ht="45" customHeight="1" x14ac:dyDescent="0.25">
      <c r="A72" s="246" t="s">
        <v>48</v>
      </c>
      <c r="B72" s="246"/>
      <c r="C72" s="247"/>
      <c r="D72" s="240">
        <f>'Детальный расчет'!B87</f>
        <v>2</v>
      </c>
      <c r="E72" s="240"/>
      <c r="F72" s="240"/>
      <c r="G72" s="240"/>
      <c r="H72" s="240"/>
      <c r="I72" s="240"/>
      <c r="J72" s="240"/>
      <c r="K72" s="240"/>
      <c r="L72" s="240"/>
      <c r="M72" s="240"/>
      <c r="N72" s="3" t="s">
        <v>4</v>
      </c>
    </row>
    <row r="73" spans="1:14" ht="6.95" customHeight="1" x14ac:dyDescent="0.25">
      <c r="A73" s="2"/>
      <c r="B73" s="2"/>
      <c r="C73" s="2"/>
      <c r="D73" s="2"/>
      <c r="E73" s="2"/>
      <c r="F73" s="2"/>
      <c r="L73" s="7"/>
      <c r="M73" s="7"/>
      <c r="N73" s="7"/>
    </row>
    <row r="74" spans="1:14" ht="45" customHeight="1" x14ac:dyDescent="0.25">
      <c r="A74" s="242" t="s">
        <v>72</v>
      </c>
      <c r="B74" s="242"/>
      <c r="C74" s="243"/>
      <c r="D74" s="240">
        <f>'Детальный расчет'!B86</f>
        <v>3</v>
      </c>
      <c r="E74" s="240"/>
      <c r="F74" s="240"/>
      <c r="G74" s="240"/>
      <c r="H74" s="240"/>
      <c r="I74" s="240"/>
      <c r="J74" s="240"/>
      <c r="K74" s="240"/>
      <c r="L74" s="240"/>
      <c r="M74" s="240"/>
      <c r="N74" s="3" t="s">
        <v>4</v>
      </c>
    </row>
    <row r="75" spans="1:14" ht="6.95" customHeight="1" x14ac:dyDescent="0.25">
      <c r="A75" s="5"/>
      <c r="B75" s="5"/>
      <c r="C75" s="5"/>
      <c r="D75" s="5"/>
      <c r="E75" s="5"/>
      <c r="F75" s="5"/>
      <c r="G75" s="6"/>
      <c r="H75" s="6"/>
      <c r="I75" s="6"/>
      <c r="J75" s="6"/>
      <c r="K75" s="6"/>
      <c r="L75" s="6"/>
      <c r="M75" s="6"/>
      <c r="N75" s="5"/>
    </row>
  </sheetData>
  <sheetProtection formatCells="0" formatColumns="0" formatRows="0" insertColumns="0" insertRows="0" insertHyperlinks="0" deleteColumns="0" deleteRows="0" sort="0" autoFilter="0" pivotTables="0"/>
  <mergeCells count="172">
    <mergeCell ref="A72:C72"/>
    <mergeCell ref="D72:M72"/>
    <mergeCell ref="B55:C55"/>
    <mergeCell ref="B54:C54"/>
    <mergeCell ref="D70:M70"/>
    <mergeCell ref="B62:C62"/>
    <mergeCell ref="A12:B12"/>
    <mergeCell ref="A13:B13"/>
    <mergeCell ref="A14:B14"/>
    <mergeCell ref="A40:C40"/>
    <mergeCell ref="A2:N2"/>
    <mergeCell ref="B56:C56"/>
    <mergeCell ref="A9:B9"/>
    <mergeCell ref="A10:B10"/>
    <mergeCell ref="A11:B11"/>
    <mergeCell ref="B48:C48"/>
    <mergeCell ref="A1:N1"/>
    <mergeCell ref="D74:M74"/>
    <mergeCell ref="A38:N38"/>
    <mergeCell ref="A74:C74"/>
    <mergeCell ref="A66:C66"/>
    <mergeCell ref="A68:C68"/>
    <mergeCell ref="D68:M68"/>
    <mergeCell ref="D66:M66"/>
    <mergeCell ref="B61:C61"/>
    <mergeCell ref="B58:C58"/>
    <mergeCell ref="B51:C51"/>
    <mergeCell ref="B53:C53"/>
    <mergeCell ref="A64:N64"/>
    <mergeCell ref="B59:C59"/>
    <mergeCell ref="B63:C63"/>
    <mergeCell ref="A70:C70"/>
    <mergeCell ref="B49:C49"/>
    <mergeCell ref="A41:C41"/>
    <mergeCell ref="B60:C60"/>
    <mergeCell ref="A43:C43"/>
    <mergeCell ref="A44:C44"/>
    <mergeCell ref="A15:B15"/>
    <mergeCell ref="E28:F28"/>
    <mergeCell ref="A16:N16"/>
    <mergeCell ref="A20:B20"/>
    <mergeCell ref="A21:B21"/>
    <mergeCell ref="A22:B22"/>
    <mergeCell ref="A23:B23"/>
    <mergeCell ref="B47:C47"/>
    <mergeCell ref="B52:C52"/>
    <mergeCell ref="B50:C50"/>
    <mergeCell ref="B57:C57"/>
    <mergeCell ref="A42:C42"/>
    <mergeCell ref="A45:N45"/>
    <mergeCell ref="C13:E13"/>
    <mergeCell ref="A24:B24"/>
    <mergeCell ref="A25:B25"/>
    <mergeCell ref="I7:J7"/>
    <mergeCell ref="C14:E14"/>
    <mergeCell ref="C15:E15"/>
    <mergeCell ref="C7:E8"/>
    <mergeCell ref="K9:N9"/>
    <mergeCell ref="A7:B8"/>
    <mergeCell ref="K10:N10"/>
    <mergeCell ref="K11:N11"/>
    <mergeCell ref="K12:N12"/>
    <mergeCell ref="K13:N13"/>
    <mergeCell ref="K14:N14"/>
    <mergeCell ref="K15:N15"/>
    <mergeCell ref="K7:N8"/>
    <mergeCell ref="B29:D29"/>
    <mergeCell ref="B30:D30"/>
    <mergeCell ref="B31:D31"/>
    <mergeCell ref="B32:D32"/>
    <mergeCell ref="B33:D33"/>
    <mergeCell ref="B34:D34"/>
    <mergeCell ref="B35:D35"/>
    <mergeCell ref="C18:N18"/>
    <mergeCell ref="A18:B19"/>
    <mergeCell ref="A26:N26"/>
    <mergeCell ref="F9:H9"/>
    <mergeCell ref="F10:H10"/>
    <mergeCell ref="F11:H11"/>
    <mergeCell ref="F12:H12"/>
    <mergeCell ref="F13:H13"/>
    <mergeCell ref="F14:H14"/>
    <mergeCell ref="F15:H15"/>
    <mergeCell ref="F7:H8"/>
    <mergeCell ref="C9:E9"/>
    <mergeCell ref="C10:E10"/>
    <mergeCell ref="C11:E11"/>
    <mergeCell ref="C12:E12"/>
    <mergeCell ref="B36:D36"/>
    <mergeCell ref="B37:D37"/>
    <mergeCell ref="E29:M29"/>
    <mergeCell ref="E30:M30"/>
    <mergeCell ref="E31:M31"/>
    <mergeCell ref="E32:M32"/>
    <mergeCell ref="E33:M33"/>
    <mergeCell ref="E34:M34"/>
    <mergeCell ref="E35:M35"/>
    <mergeCell ref="E36:M36"/>
    <mergeCell ref="E37:M37"/>
    <mergeCell ref="L40:N40"/>
    <mergeCell ref="L41:N41"/>
    <mergeCell ref="L42:N42"/>
    <mergeCell ref="L43:N43"/>
    <mergeCell ref="L44:N44"/>
    <mergeCell ref="D40:E40"/>
    <mergeCell ref="D41:E41"/>
    <mergeCell ref="D42:E42"/>
    <mergeCell ref="D43:E43"/>
    <mergeCell ref="D44:E44"/>
    <mergeCell ref="F40:H40"/>
    <mergeCell ref="F41:H41"/>
    <mergeCell ref="F42:H42"/>
    <mergeCell ref="F43:H43"/>
    <mergeCell ref="F44:H44"/>
    <mergeCell ref="I40:K40"/>
    <mergeCell ref="I41:K41"/>
    <mergeCell ref="I42:K42"/>
    <mergeCell ref="I43:K43"/>
    <mergeCell ref="I44:K44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D58:G58"/>
    <mergeCell ref="D59:G59"/>
    <mergeCell ref="D60:G60"/>
    <mergeCell ref="D61:G61"/>
    <mergeCell ref="D62:G62"/>
    <mergeCell ref="H56:I56"/>
    <mergeCell ref="H57:I57"/>
    <mergeCell ref="H58:I58"/>
    <mergeCell ref="H59:I59"/>
    <mergeCell ref="H60:I60"/>
    <mergeCell ref="H61:I61"/>
    <mergeCell ref="D49:G49"/>
    <mergeCell ref="D50:G50"/>
    <mergeCell ref="D51:G51"/>
    <mergeCell ref="D52:G52"/>
    <mergeCell ref="D53:G53"/>
    <mergeCell ref="D54:G54"/>
    <mergeCell ref="D55:G55"/>
    <mergeCell ref="D56:G56"/>
    <mergeCell ref="D57:G57"/>
    <mergeCell ref="D63:G63"/>
    <mergeCell ref="J46:M46"/>
    <mergeCell ref="J47:M47"/>
    <mergeCell ref="J48:M48"/>
    <mergeCell ref="J49:M49"/>
    <mergeCell ref="J50:M50"/>
    <mergeCell ref="J51:M51"/>
    <mergeCell ref="J52:M52"/>
    <mergeCell ref="J53:M53"/>
    <mergeCell ref="J54:M54"/>
    <mergeCell ref="J55:M55"/>
    <mergeCell ref="J56:M56"/>
    <mergeCell ref="J57:M57"/>
    <mergeCell ref="J58:M58"/>
    <mergeCell ref="J59:M59"/>
    <mergeCell ref="J60:M60"/>
    <mergeCell ref="J61:M61"/>
    <mergeCell ref="J62:M62"/>
    <mergeCell ref="J63:M63"/>
    <mergeCell ref="H62:I62"/>
    <mergeCell ref="H63:I63"/>
    <mergeCell ref="D46:G46"/>
    <mergeCell ref="D47:G47"/>
    <mergeCell ref="D48:G48"/>
  </mergeCells>
  <conditionalFormatting sqref="C15">
    <cfRule type="cellIs" dxfId="16" priority="8" operator="greaterThan">
      <formula>1</formula>
    </cfRule>
  </conditionalFormatting>
  <conditionalFormatting sqref="F15">
    <cfRule type="cellIs" dxfId="15" priority="6" operator="greaterThan">
      <formula>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50" orientation="portrait" r:id="rId1"/>
  <rowBreaks count="1" manualBreakCount="1">
    <brk id="38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819150</xdr:colOff>
                    <xdr:row>2</xdr:row>
                    <xdr:rowOff>66675</xdr:rowOff>
                  </from>
                  <to>
                    <xdr:col>5</xdr:col>
                    <xdr:colOff>571500</xdr:colOff>
                    <xdr:row>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800100</xdr:colOff>
                    <xdr:row>3</xdr:row>
                    <xdr:rowOff>57150</xdr:rowOff>
                  </from>
                  <to>
                    <xdr:col>5</xdr:col>
                    <xdr:colOff>581025</xdr:colOff>
                    <xdr:row>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1">
              <controlPr locked="0" defaultSize="0" autoLine="0" autoPict="0">
                <anchor moveWithCells="1">
                  <from>
                    <xdr:col>10</xdr:col>
                    <xdr:colOff>742950</xdr:colOff>
                    <xdr:row>2</xdr:row>
                    <xdr:rowOff>38100</xdr:rowOff>
                  </from>
                  <to>
                    <xdr:col>12</xdr:col>
                    <xdr:colOff>704850</xdr:colOff>
                    <xdr:row>2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zoomScale="70" zoomScaleNormal="70" workbookViewId="0">
      <selection activeCell="A3" sqref="A3"/>
    </sheetView>
  </sheetViews>
  <sheetFormatPr defaultRowHeight="15" x14ac:dyDescent="0.25"/>
  <cols>
    <col min="1" max="1" width="63" customWidth="1"/>
    <col min="2" max="2" width="49.42578125" customWidth="1"/>
  </cols>
  <sheetData>
    <row r="1" spans="1:2" ht="15.75" x14ac:dyDescent="0.25">
      <c r="A1" s="239" t="s">
        <v>5</v>
      </c>
      <c r="B1" s="239"/>
    </row>
    <row r="2" spans="1:2" ht="82.9" customHeight="1" x14ac:dyDescent="0.25">
      <c r="A2" s="238" t="s">
        <v>118</v>
      </c>
      <c r="B2" s="238"/>
    </row>
    <row r="3" spans="1:2" ht="23.1" x14ac:dyDescent="0.55000000000000004">
      <c r="A3" s="157"/>
      <c r="B3" s="88"/>
    </row>
    <row r="4" spans="1:2" ht="39.4" customHeight="1" x14ac:dyDescent="0.25">
      <c r="A4" s="173" t="s">
        <v>113</v>
      </c>
      <c r="B4" s="172" t="str">
        <f>"Стоимость франчайзингового пакета, "&amp;CHOOSE('Исходные данные'!$R$2,'Исходные данные'!$S$2,'Исходные данные'!$S$3,'Исходные данные'!$S$4,'Исходные данные'!$S$5)&amp;""</f>
        <v>Стоимость франчайзингового пакета, RUB</v>
      </c>
    </row>
    <row r="5" spans="1:2" ht="26.25" x14ac:dyDescent="0.25">
      <c r="A5" s="176" t="s">
        <v>114</v>
      </c>
      <c r="B5" s="174">
        <v>97000</v>
      </c>
    </row>
    <row r="6" spans="1:2" ht="26.25" x14ac:dyDescent="0.25">
      <c r="A6" s="176" t="s">
        <v>115</v>
      </c>
      <c r="B6" s="175">
        <v>197000</v>
      </c>
    </row>
    <row r="7" spans="1:2" ht="26.25" x14ac:dyDescent="0.25">
      <c r="A7" s="176" t="s">
        <v>116</v>
      </c>
      <c r="B7" s="175">
        <v>247000</v>
      </c>
    </row>
    <row r="8" spans="1:2" ht="26.25" x14ac:dyDescent="0.25">
      <c r="A8" s="176" t="s">
        <v>117</v>
      </c>
      <c r="B8" s="175">
        <v>397000</v>
      </c>
    </row>
  </sheetData>
  <mergeCells count="2">
    <mergeCell ref="A1:B1"/>
    <mergeCell ref="A2:B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T105"/>
  <sheetViews>
    <sheetView zoomScale="90" zoomScaleNormal="90" zoomScaleSheetLayoutView="70" workbookViewId="0">
      <pane xSplit="2" ySplit="13" topLeftCell="C58" activePane="bottomRight" state="frozen"/>
      <selection pane="topRight" activeCell="C1" sqref="C1"/>
      <selection pane="bottomLeft" activeCell="A17" sqref="A17"/>
      <selection pane="bottomRight" activeCell="C73" sqref="C73"/>
    </sheetView>
  </sheetViews>
  <sheetFormatPr defaultRowHeight="12.75" outlineLevelCol="1" x14ac:dyDescent="0.2"/>
  <cols>
    <col min="1" max="1" width="60" style="13" customWidth="1"/>
    <col min="2" max="2" width="12.5703125" style="13" customWidth="1"/>
    <col min="3" max="14" width="11" style="12" customWidth="1" outlineLevel="1"/>
    <col min="15" max="15" width="11" style="115" customWidth="1"/>
    <col min="16" max="16" width="13.85546875" style="115" customWidth="1"/>
    <col min="17" max="28" width="11" style="12" customWidth="1" outlineLevel="1"/>
    <col min="29" max="29" width="11" style="115" customWidth="1"/>
    <col min="30" max="30" width="14.28515625" style="115" customWidth="1"/>
    <col min="31" max="42" width="11" style="12" customWidth="1" outlineLevel="1"/>
    <col min="43" max="43" width="11" style="115" customWidth="1"/>
    <col min="44" max="44" width="14.28515625" style="115" customWidth="1"/>
    <col min="45" max="45" width="12.85546875" style="12" customWidth="1"/>
    <col min="46" max="46" width="10" style="12" bestFit="1" customWidth="1"/>
    <col min="47" max="285" width="9.140625" style="12"/>
    <col min="286" max="286" width="53" style="12" customWidth="1"/>
    <col min="287" max="287" width="14.42578125" style="12" customWidth="1"/>
    <col min="288" max="300" width="11" style="12" customWidth="1"/>
    <col min="301" max="301" width="12.85546875" style="12" customWidth="1"/>
    <col min="302" max="302" width="10" style="12" bestFit="1" customWidth="1"/>
    <col min="303" max="541" width="9.140625" style="12"/>
    <col min="542" max="542" width="53" style="12" customWidth="1"/>
    <col min="543" max="543" width="14.42578125" style="12" customWidth="1"/>
    <col min="544" max="556" width="11" style="12" customWidth="1"/>
    <col min="557" max="557" width="12.85546875" style="12" customWidth="1"/>
    <col min="558" max="558" width="10" style="12" bestFit="1" customWidth="1"/>
    <col min="559" max="797" width="9.140625" style="12"/>
    <col min="798" max="798" width="53" style="12" customWidth="1"/>
    <col min="799" max="799" width="14.42578125" style="12" customWidth="1"/>
    <col min="800" max="812" width="11" style="12" customWidth="1"/>
    <col min="813" max="813" width="12.85546875" style="12" customWidth="1"/>
    <col min="814" max="814" width="10" style="12" bestFit="1" customWidth="1"/>
    <col min="815" max="1053" width="9.140625" style="12"/>
    <col min="1054" max="1054" width="53" style="12" customWidth="1"/>
    <col min="1055" max="1055" width="14.42578125" style="12" customWidth="1"/>
    <col min="1056" max="1068" width="11" style="12" customWidth="1"/>
    <col min="1069" max="1069" width="12.85546875" style="12" customWidth="1"/>
    <col min="1070" max="1070" width="10" style="12" bestFit="1" customWidth="1"/>
    <col min="1071" max="1309" width="9.140625" style="12"/>
    <col min="1310" max="1310" width="53" style="12" customWidth="1"/>
    <col min="1311" max="1311" width="14.42578125" style="12" customWidth="1"/>
    <col min="1312" max="1324" width="11" style="12" customWidth="1"/>
    <col min="1325" max="1325" width="12.85546875" style="12" customWidth="1"/>
    <col min="1326" max="1326" width="10" style="12" bestFit="1" customWidth="1"/>
    <col min="1327" max="1565" width="9.140625" style="12"/>
    <col min="1566" max="1566" width="53" style="12" customWidth="1"/>
    <col min="1567" max="1567" width="14.42578125" style="12" customWidth="1"/>
    <col min="1568" max="1580" width="11" style="12" customWidth="1"/>
    <col min="1581" max="1581" width="12.85546875" style="12" customWidth="1"/>
    <col min="1582" max="1582" width="10" style="12" bestFit="1" customWidth="1"/>
    <col min="1583" max="1821" width="9.140625" style="12"/>
    <col min="1822" max="1822" width="53" style="12" customWidth="1"/>
    <col min="1823" max="1823" width="14.42578125" style="12" customWidth="1"/>
    <col min="1824" max="1836" width="11" style="12" customWidth="1"/>
    <col min="1837" max="1837" width="12.85546875" style="12" customWidth="1"/>
    <col min="1838" max="1838" width="10" style="12" bestFit="1" customWidth="1"/>
    <col min="1839" max="2077" width="9.140625" style="12"/>
    <col min="2078" max="2078" width="53" style="12" customWidth="1"/>
    <col min="2079" max="2079" width="14.42578125" style="12" customWidth="1"/>
    <col min="2080" max="2092" width="11" style="12" customWidth="1"/>
    <col min="2093" max="2093" width="12.85546875" style="12" customWidth="1"/>
    <col min="2094" max="2094" width="10" style="12" bestFit="1" customWidth="1"/>
    <col min="2095" max="2333" width="9.140625" style="12"/>
    <col min="2334" max="2334" width="53" style="12" customWidth="1"/>
    <col min="2335" max="2335" width="14.42578125" style="12" customWidth="1"/>
    <col min="2336" max="2348" width="11" style="12" customWidth="1"/>
    <col min="2349" max="2349" width="12.85546875" style="12" customWidth="1"/>
    <col min="2350" max="2350" width="10" style="12" bestFit="1" customWidth="1"/>
    <col min="2351" max="2589" width="9.140625" style="12"/>
    <col min="2590" max="2590" width="53" style="12" customWidth="1"/>
    <col min="2591" max="2591" width="14.42578125" style="12" customWidth="1"/>
    <col min="2592" max="2604" width="11" style="12" customWidth="1"/>
    <col min="2605" max="2605" width="12.85546875" style="12" customWidth="1"/>
    <col min="2606" max="2606" width="10" style="12" bestFit="1" customWidth="1"/>
    <col min="2607" max="2845" width="9.140625" style="12"/>
    <col min="2846" max="2846" width="53" style="12" customWidth="1"/>
    <col min="2847" max="2847" width="14.42578125" style="12" customWidth="1"/>
    <col min="2848" max="2860" width="11" style="12" customWidth="1"/>
    <col min="2861" max="2861" width="12.85546875" style="12" customWidth="1"/>
    <col min="2862" max="2862" width="10" style="12" bestFit="1" customWidth="1"/>
    <col min="2863" max="3101" width="9.140625" style="12"/>
    <col min="3102" max="3102" width="53" style="12" customWidth="1"/>
    <col min="3103" max="3103" width="14.42578125" style="12" customWidth="1"/>
    <col min="3104" max="3116" width="11" style="12" customWidth="1"/>
    <col min="3117" max="3117" width="12.85546875" style="12" customWidth="1"/>
    <col min="3118" max="3118" width="10" style="12" bestFit="1" customWidth="1"/>
    <col min="3119" max="3357" width="9.140625" style="12"/>
    <col min="3358" max="3358" width="53" style="12" customWidth="1"/>
    <col min="3359" max="3359" width="14.42578125" style="12" customWidth="1"/>
    <col min="3360" max="3372" width="11" style="12" customWidth="1"/>
    <col min="3373" max="3373" width="12.85546875" style="12" customWidth="1"/>
    <col min="3374" max="3374" width="10" style="12" bestFit="1" customWidth="1"/>
    <col min="3375" max="3613" width="9.140625" style="12"/>
    <col min="3614" max="3614" width="53" style="12" customWidth="1"/>
    <col min="3615" max="3615" width="14.42578125" style="12" customWidth="1"/>
    <col min="3616" max="3628" width="11" style="12" customWidth="1"/>
    <col min="3629" max="3629" width="12.85546875" style="12" customWidth="1"/>
    <col min="3630" max="3630" width="10" style="12" bestFit="1" customWidth="1"/>
    <col min="3631" max="3869" width="9.140625" style="12"/>
    <col min="3870" max="3870" width="53" style="12" customWidth="1"/>
    <col min="3871" max="3871" width="14.42578125" style="12" customWidth="1"/>
    <col min="3872" max="3884" width="11" style="12" customWidth="1"/>
    <col min="3885" max="3885" width="12.85546875" style="12" customWidth="1"/>
    <col min="3886" max="3886" width="10" style="12" bestFit="1" customWidth="1"/>
    <col min="3887" max="4125" width="9.140625" style="12"/>
    <col min="4126" max="4126" width="53" style="12" customWidth="1"/>
    <col min="4127" max="4127" width="14.42578125" style="12" customWidth="1"/>
    <col min="4128" max="4140" width="11" style="12" customWidth="1"/>
    <col min="4141" max="4141" width="12.85546875" style="12" customWidth="1"/>
    <col min="4142" max="4142" width="10" style="12" bestFit="1" customWidth="1"/>
    <col min="4143" max="4381" width="9.140625" style="12"/>
    <col min="4382" max="4382" width="53" style="12" customWidth="1"/>
    <col min="4383" max="4383" width="14.42578125" style="12" customWidth="1"/>
    <col min="4384" max="4396" width="11" style="12" customWidth="1"/>
    <col min="4397" max="4397" width="12.85546875" style="12" customWidth="1"/>
    <col min="4398" max="4398" width="10" style="12" bestFit="1" customWidth="1"/>
    <col min="4399" max="4637" width="9.140625" style="12"/>
    <col min="4638" max="4638" width="53" style="12" customWidth="1"/>
    <col min="4639" max="4639" width="14.42578125" style="12" customWidth="1"/>
    <col min="4640" max="4652" width="11" style="12" customWidth="1"/>
    <col min="4653" max="4653" width="12.85546875" style="12" customWidth="1"/>
    <col min="4654" max="4654" width="10" style="12" bestFit="1" customWidth="1"/>
    <col min="4655" max="4893" width="9.140625" style="12"/>
    <col min="4894" max="4894" width="53" style="12" customWidth="1"/>
    <col min="4895" max="4895" width="14.42578125" style="12" customWidth="1"/>
    <col min="4896" max="4908" width="11" style="12" customWidth="1"/>
    <col min="4909" max="4909" width="12.85546875" style="12" customWidth="1"/>
    <col min="4910" max="4910" width="10" style="12" bestFit="1" customWidth="1"/>
    <col min="4911" max="5149" width="9.140625" style="12"/>
    <col min="5150" max="5150" width="53" style="12" customWidth="1"/>
    <col min="5151" max="5151" width="14.42578125" style="12" customWidth="1"/>
    <col min="5152" max="5164" width="11" style="12" customWidth="1"/>
    <col min="5165" max="5165" width="12.85546875" style="12" customWidth="1"/>
    <col min="5166" max="5166" width="10" style="12" bestFit="1" customWidth="1"/>
    <col min="5167" max="5405" width="9.140625" style="12"/>
    <col min="5406" max="5406" width="53" style="12" customWidth="1"/>
    <col min="5407" max="5407" width="14.42578125" style="12" customWidth="1"/>
    <col min="5408" max="5420" width="11" style="12" customWidth="1"/>
    <col min="5421" max="5421" width="12.85546875" style="12" customWidth="1"/>
    <col min="5422" max="5422" width="10" style="12" bestFit="1" customWidth="1"/>
    <col min="5423" max="5661" width="9.140625" style="12"/>
    <col min="5662" max="5662" width="53" style="12" customWidth="1"/>
    <col min="5663" max="5663" width="14.42578125" style="12" customWidth="1"/>
    <col min="5664" max="5676" width="11" style="12" customWidth="1"/>
    <col min="5677" max="5677" width="12.85546875" style="12" customWidth="1"/>
    <col min="5678" max="5678" width="10" style="12" bestFit="1" customWidth="1"/>
    <col min="5679" max="5917" width="9.140625" style="12"/>
    <col min="5918" max="5918" width="53" style="12" customWidth="1"/>
    <col min="5919" max="5919" width="14.42578125" style="12" customWidth="1"/>
    <col min="5920" max="5932" width="11" style="12" customWidth="1"/>
    <col min="5933" max="5933" width="12.85546875" style="12" customWidth="1"/>
    <col min="5934" max="5934" width="10" style="12" bestFit="1" customWidth="1"/>
    <col min="5935" max="6173" width="9.140625" style="12"/>
    <col min="6174" max="6174" width="53" style="12" customWidth="1"/>
    <col min="6175" max="6175" width="14.42578125" style="12" customWidth="1"/>
    <col min="6176" max="6188" width="11" style="12" customWidth="1"/>
    <col min="6189" max="6189" width="12.85546875" style="12" customWidth="1"/>
    <col min="6190" max="6190" width="10" style="12" bestFit="1" customWidth="1"/>
    <col min="6191" max="6429" width="9.140625" style="12"/>
    <col min="6430" max="6430" width="53" style="12" customWidth="1"/>
    <col min="6431" max="6431" width="14.42578125" style="12" customWidth="1"/>
    <col min="6432" max="6444" width="11" style="12" customWidth="1"/>
    <col min="6445" max="6445" width="12.85546875" style="12" customWidth="1"/>
    <col min="6446" max="6446" width="10" style="12" bestFit="1" customWidth="1"/>
    <col min="6447" max="6685" width="9.140625" style="12"/>
    <col min="6686" max="6686" width="53" style="12" customWidth="1"/>
    <col min="6687" max="6687" width="14.42578125" style="12" customWidth="1"/>
    <col min="6688" max="6700" width="11" style="12" customWidth="1"/>
    <col min="6701" max="6701" width="12.85546875" style="12" customWidth="1"/>
    <col min="6702" max="6702" width="10" style="12" bestFit="1" customWidth="1"/>
    <col min="6703" max="6941" width="9.140625" style="12"/>
    <col min="6942" max="6942" width="53" style="12" customWidth="1"/>
    <col min="6943" max="6943" width="14.42578125" style="12" customWidth="1"/>
    <col min="6944" max="6956" width="11" style="12" customWidth="1"/>
    <col min="6957" max="6957" width="12.85546875" style="12" customWidth="1"/>
    <col min="6958" max="6958" width="10" style="12" bestFit="1" customWidth="1"/>
    <col min="6959" max="7197" width="9.140625" style="12"/>
    <col min="7198" max="7198" width="53" style="12" customWidth="1"/>
    <col min="7199" max="7199" width="14.42578125" style="12" customWidth="1"/>
    <col min="7200" max="7212" width="11" style="12" customWidth="1"/>
    <col min="7213" max="7213" width="12.85546875" style="12" customWidth="1"/>
    <col min="7214" max="7214" width="10" style="12" bestFit="1" customWidth="1"/>
    <col min="7215" max="7453" width="9.140625" style="12"/>
    <col min="7454" max="7454" width="53" style="12" customWidth="1"/>
    <col min="7455" max="7455" width="14.42578125" style="12" customWidth="1"/>
    <col min="7456" max="7468" width="11" style="12" customWidth="1"/>
    <col min="7469" max="7469" width="12.85546875" style="12" customWidth="1"/>
    <col min="7470" max="7470" width="10" style="12" bestFit="1" customWidth="1"/>
    <col min="7471" max="7709" width="9.140625" style="12"/>
    <col min="7710" max="7710" width="53" style="12" customWidth="1"/>
    <col min="7711" max="7711" width="14.42578125" style="12" customWidth="1"/>
    <col min="7712" max="7724" width="11" style="12" customWidth="1"/>
    <col min="7725" max="7725" width="12.85546875" style="12" customWidth="1"/>
    <col min="7726" max="7726" width="10" style="12" bestFit="1" customWidth="1"/>
    <col min="7727" max="7965" width="9.140625" style="12"/>
    <col min="7966" max="7966" width="53" style="12" customWidth="1"/>
    <col min="7967" max="7967" width="14.42578125" style="12" customWidth="1"/>
    <col min="7968" max="7980" width="11" style="12" customWidth="1"/>
    <col min="7981" max="7981" width="12.85546875" style="12" customWidth="1"/>
    <col min="7982" max="7982" width="10" style="12" bestFit="1" customWidth="1"/>
    <col min="7983" max="8221" width="9.140625" style="12"/>
    <col min="8222" max="8222" width="53" style="12" customWidth="1"/>
    <col min="8223" max="8223" width="14.42578125" style="12" customWidth="1"/>
    <col min="8224" max="8236" width="11" style="12" customWidth="1"/>
    <col min="8237" max="8237" width="12.85546875" style="12" customWidth="1"/>
    <col min="8238" max="8238" width="10" style="12" bestFit="1" customWidth="1"/>
    <col min="8239" max="8477" width="9.140625" style="12"/>
    <col min="8478" max="8478" width="53" style="12" customWidth="1"/>
    <col min="8479" max="8479" width="14.42578125" style="12" customWidth="1"/>
    <col min="8480" max="8492" width="11" style="12" customWidth="1"/>
    <col min="8493" max="8493" width="12.85546875" style="12" customWidth="1"/>
    <col min="8494" max="8494" width="10" style="12" bestFit="1" customWidth="1"/>
    <col min="8495" max="8733" width="9.140625" style="12"/>
    <col min="8734" max="8734" width="53" style="12" customWidth="1"/>
    <col min="8735" max="8735" width="14.42578125" style="12" customWidth="1"/>
    <col min="8736" max="8748" width="11" style="12" customWidth="1"/>
    <col min="8749" max="8749" width="12.85546875" style="12" customWidth="1"/>
    <col min="8750" max="8750" width="10" style="12" bestFit="1" customWidth="1"/>
    <col min="8751" max="8989" width="9.140625" style="12"/>
    <col min="8990" max="8990" width="53" style="12" customWidth="1"/>
    <col min="8991" max="8991" width="14.42578125" style="12" customWidth="1"/>
    <col min="8992" max="9004" width="11" style="12" customWidth="1"/>
    <col min="9005" max="9005" width="12.85546875" style="12" customWidth="1"/>
    <col min="9006" max="9006" width="10" style="12" bestFit="1" customWidth="1"/>
    <col min="9007" max="9245" width="9.140625" style="12"/>
    <col min="9246" max="9246" width="53" style="12" customWidth="1"/>
    <col min="9247" max="9247" width="14.42578125" style="12" customWidth="1"/>
    <col min="9248" max="9260" width="11" style="12" customWidth="1"/>
    <col min="9261" max="9261" width="12.85546875" style="12" customWidth="1"/>
    <col min="9262" max="9262" width="10" style="12" bestFit="1" customWidth="1"/>
    <col min="9263" max="9501" width="9.140625" style="12"/>
    <col min="9502" max="9502" width="53" style="12" customWidth="1"/>
    <col min="9503" max="9503" width="14.42578125" style="12" customWidth="1"/>
    <col min="9504" max="9516" width="11" style="12" customWidth="1"/>
    <col min="9517" max="9517" width="12.85546875" style="12" customWidth="1"/>
    <col min="9518" max="9518" width="10" style="12" bestFit="1" customWidth="1"/>
    <col min="9519" max="9757" width="9.140625" style="12"/>
    <col min="9758" max="9758" width="53" style="12" customWidth="1"/>
    <col min="9759" max="9759" width="14.42578125" style="12" customWidth="1"/>
    <col min="9760" max="9772" width="11" style="12" customWidth="1"/>
    <col min="9773" max="9773" width="12.85546875" style="12" customWidth="1"/>
    <col min="9774" max="9774" width="10" style="12" bestFit="1" customWidth="1"/>
    <col min="9775" max="10013" width="9.140625" style="12"/>
    <col min="10014" max="10014" width="53" style="12" customWidth="1"/>
    <col min="10015" max="10015" width="14.42578125" style="12" customWidth="1"/>
    <col min="10016" max="10028" width="11" style="12" customWidth="1"/>
    <col min="10029" max="10029" width="12.85546875" style="12" customWidth="1"/>
    <col min="10030" max="10030" width="10" style="12" bestFit="1" customWidth="1"/>
    <col min="10031" max="10269" width="9.140625" style="12"/>
    <col min="10270" max="10270" width="53" style="12" customWidth="1"/>
    <col min="10271" max="10271" width="14.42578125" style="12" customWidth="1"/>
    <col min="10272" max="10284" width="11" style="12" customWidth="1"/>
    <col min="10285" max="10285" width="12.85546875" style="12" customWidth="1"/>
    <col min="10286" max="10286" width="10" style="12" bestFit="1" customWidth="1"/>
    <col min="10287" max="10525" width="9.140625" style="12"/>
    <col min="10526" max="10526" width="53" style="12" customWidth="1"/>
    <col min="10527" max="10527" width="14.42578125" style="12" customWidth="1"/>
    <col min="10528" max="10540" width="11" style="12" customWidth="1"/>
    <col min="10541" max="10541" width="12.85546875" style="12" customWidth="1"/>
    <col min="10542" max="10542" width="10" style="12" bestFit="1" customWidth="1"/>
    <col min="10543" max="10781" width="9.140625" style="12"/>
    <col min="10782" max="10782" width="53" style="12" customWidth="1"/>
    <col min="10783" max="10783" width="14.42578125" style="12" customWidth="1"/>
    <col min="10784" max="10796" width="11" style="12" customWidth="1"/>
    <col min="10797" max="10797" width="12.85546875" style="12" customWidth="1"/>
    <col min="10798" max="10798" width="10" style="12" bestFit="1" customWidth="1"/>
    <col min="10799" max="11037" width="9.140625" style="12"/>
    <col min="11038" max="11038" width="53" style="12" customWidth="1"/>
    <col min="11039" max="11039" width="14.42578125" style="12" customWidth="1"/>
    <col min="11040" max="11052" width="11" style="12" customWidth="1"/>
    <col min="11053" max="11053" width="12.85546875" style="12" customWidth="1"/>
    <col min="11054" max="11054" width="10" style="12" bestFit="1" customWidth="1"/>
    <col min="11055" max="11293" width="9.140625" style="12"/>
    <col min="11294" max="11294" width="53" style="12" customWidth="1"/>
    <col min="11295" max="11295" width="14.42578125" style="12" customWidth="1"/>
    <col min="11296" max="11308" width="11" style="12" customWidth="1"/>
    <col min="11309" max="11309" width="12.85546875" style="12" customWidth="1"/>
    <col min="11310" max="11310" width="10" style="12" bestFit="1" customWidth="1"/>
    <col min="11311" max="11549" width="9.140625" style="12"/>
    <col min="11550" max="11550" width="53" style="12" customWidth="1"/>
    <col min="11551" max="11551" width="14.42578125" style="12" customWidth="1"/>
    <col min="11552" max="11564" width="11" style="12" customWidth="1"/>
    <col min="11565" max="11565" width="12.85546875" style="12" customWidth="1"/>
    <col min="11566" max="11566" width="10" style="12" bestFit="1" customWidth="1"/>
    <col min="11567" max="11805" width="9.140625" style="12"/>
    <col min="11806" max="11806" width="53" style="12" customWidth="1"/>
    <col min="11807" max="11807" width="14.42578125" style="12" customWidth="1"/>
    <col min="11808" max="11820" width="11" style="12" customWidth="1"/>
    <col min="11821" max="11821" width="12.85546875" style="12" customWidth="1"/>
    <col min="11822" max="11822" width="10" style="12" bestFit="1" customWidth="1"/>
    <col min="11823" max="12061" width="9.140625" style="12"/>
    <col min="12062" max="12062" width="53" style="12" customWidth="1"/>
    <col min="12063" max="12063" width="14.42578125" style="12" customWidth="1"/>
    <col min="12064" max="12076" width="11" style="12" customWidth="1"/>
    <col min="12077" max="12077" width="12.85546875" style="12" customWidth="1"/>
    <col min="12078" max="12078" width="10" style="12" bestFit="1" customWidth="1"/>
    <col min="12079" max="12317" width="9.140625" style="12"/>
    <col min="12318" max="12318" width="53" style="12" customWidth="1"/>
    <col min="12319" max="12319" width="14.42578125" style="12" customWidth="1"/>
    <col min="12320" max="12332" width="11" style="12" customWidth="1"/>
    <col min="12333" max="12333" width="12.85546875" style="12" customWidth="1"/>
    <col min="12334" max="12334" width="10" style="12" bestFit="1" customWidth="1"/>
    <col min="12335" max="12573" width="9.140625" style="12"/>
    <col min="12574" max="12574" width="53" style="12" customWidth="1"/>
    <col min="12575" max="12575" width="14.42578125" style="12" customWidth="1"/>
    <col min="12576" max="12588" width="11" style="12" customWidth="1"/>
    <col min="12589" max="12589" width="12.85546875" style="12" customWidth="1"/>
    <col min="12590" max="12590" width="10" style="12" bestFit="1" customWidth="1"/>
    <col min="12591" max="12829" width="9.140625" style="12"/>
    <col min="12830" max="12830" width="53" style="12" customWidth="1"/>
    <col min="12831" max="12831" width="14.42578125" style="12" customWidth="1"/>
    <col min="12832" max="12844" width="11" style="12" customWidth="1"/>
    <col min="12845" max="12845" width="12.85546875" style="12" customWidth="1"/>
    <col min="12846" max="12846" width="10" style="12" bestFit="1" customWidth="1"/>
    <col min="12847" max="13085" width="9.140625" style="12"/>
    <col min="13086" max="13086" width="53" style="12" customWidth="1"/>
    <col min="13087" max="13087" width="14.42578125" style="12" customWidth="1"/>
    <col min="13088" max="13100" width="11" style="12" customWidth="1"/>
    <col min="13101" max="13101" width="12.85546875" style="12" customWidth="1"/>
    <col min="13102" max="13102" width="10" style="12" bestFit="1" customWidth="1"/>
    <col min="13103" max="13341" width="9.140625" style="12"/>
    <col min="13342" max="13342" width="53" style="12" customWidth="1"/>
    <col min="13343" max="13343" width="14.42578125" style="12" customWidth="1"/>
    <col min="13344" max="13356" width="11" style="12" customWidth="1"/>
    <col min="13357" max="13357" width="12.85546875" style="12" customWidth="1"/>
    <col min="13358" max="13358" width="10" style="12" bestFit="1" customWidth="1"/>
    <col min="13359" max="13597" width="9.140625" style="12"/>
    <col min="13598" max="13598" width="53" style="12" customWidth="1"/>
    <col min="13599" max="13599" width="14.42578125" style="12" customWidth="1"/>
    <col min="13600" max="13612" width="11" style="12" customWidth="1"/>
    <col min="13613" max="13613" width="12.85546875" style="12" customWidth="1"/>
    <col min="13614" max="13614" width="10" style="12" bestFit="1" customWidth="1"/>
    <col min="13615" max="13853" width="9.140625" style="12"/>
    <col min="13854" max="13854" width="53" style="12" customWidth="1"/>
    <col min="13855" max="13855" width="14.42578125" style="12" customWidth="1"/>
    <col min="13856" max="13868" width="11" style="12" customWidth="1"/>
    <col min="13869" max="13869" width="12.85546875" style="12" customWidth="1"/>
    <col min="13870" max="13870" width="10" style="12" bestFit="1" customWidth="1"/>
    <col min="13871" max="14109" width="9.140625" style="12"/>
    <col min="14110" max="14110" width="53" style="12" customWidth="1"/>
    <col min="14111" max="14111" width="14.42578125" style="12" customWidth="1"/>
    <col min="14112" max="14124" width="11" style="12" customWidth="1"/>
    <col min="14125" max="14125" width="12.85546875" style="12" customWidth="1"/>
    <col min="14126" max="14126" width="10" style="12" bestFit="1" customWidth="1"/>
    <col min="14127" max="14365" width="9.140625" style="12"/>
    <col min="14366" max="14366" width="53" style="12" customWidth="1"/>
    <col min="14367" max="14367" width="14.42578125" style="12" customWidth="1"/>
    <col min="14368" max="14380" width="11" style="12" customWidth="1"/>
    <col min="14381" max="14381" width="12.85546875" style="12" customWidth="1"/>
    <col min="14382" max="14382" width="10" style="12" bestFit="1" customWidth="1"/>
    <col min="14383" max="14621" width="9.140625" style="12"/>
    <col min="14622" max="14622" width="53" style="12" customWidth="1"/>
    <col min="14623" max="14623" width="14.42578125" style="12" customWidth="1"/>
    <col min="14624" max="14636" width="11" style="12" customWidth="1"/>
    <col min="14637" max="14637" width="12.85546875" style="12" customWidth="1"/>
    <col min="14638" max="14638" width="10" style="12" bestFit="1" customWidth="1"/>
    <col min="14639" max="14877" width="9.140625" style="12"/>
    <col min="14878" max="14878" width="53" style="12" customWidth="1"/>
    <col min="14879" max="14879" width="14.42578125" style="12" customWidth="1"/>
    <col min="14880" max="14892" width="11" style="12" customWidth="1"/>
    <col min="14893" max="14893" width="12.85546875" style="12" customWidth="1"/>
    <col min="14894" max="14894" width="10" style="12" bestFit="1" customWidth="1"/>
    <col min="14895" max="15133" width="9.140625" style="12"/>
    <col min="15134" max="15134" width="53" style="12" customWidth="1"/>
    <col min="15135" max="15135" width="14.42578125" style="12" customWidth="1"/>
    <col min="15136" max="15148" width="11" style="12" customWidth="1"/>
    <col min="15149" max="15149" width="12.85546875" style="12" customWidth="1"/>
    <col min="15150" max="15150" width="10" style="12" bestFit="1" customWidth="1"/>
    <col min="15151" max="15389" width="9.140625" style="12"/>
    <col min="15390" max="15390" width="53" style="12" customWidth="1"/>
    <col min="15391" max="15391" width="14.42578125" style="12" customWidth="1"/>
    <col min="15392" max="15404" width="11" style="12" customWidth="1"/>
    <col min="15405" max="15405" width="12.85546875" style="12" customWidth="1"/>
    <col min="15406" max="15406" width="10" style="12" bestFit="1" customWidth="1"/>
    <col min="15407" max="15645" width="9.140625" style="12"/>
    <col min="15646" max="15646" width="53" style="12" customWidth="1"/>
    <col min="15647" max="15647" width="14.42578125" style="12" customWidth="1"/>
    <col min="15648" max="15660" width="11" style="12" customWidth="1"/>
    <col min="15661" max="15661" width="12.85546875" style="12" customWidth="1"/>
    <col min="15662" max="15662" width="10" style="12" bestFit="1" customWidth="1"/>
    <col min="15663" max="15901" width="9.140625" style="12"/>
    <col min="15902" max="15902" width="53" style="12" customWidth="1"/>
    <col min="15903" max="15903" width="14.42578125" style="12" customWidth="1"/>
    <col min="15904" max="15916" width="11" style="12" customWidth="1"/>
    <col min="15917" max="15917" width="12.85546875" style="12" customWidth="1"/>
    <col min="15918" max="15918" width="10" style="12" bestFit="1" customWidth="1"/>
    <col min="15919" max="16157" width="9.140625" style="12"/>
    <col min="16158" max="16158" width="53" style="12" customWidth="1"/>
    <col min="16159" max="16159" width="14.42578125" style="12" customWidth="1"/>
    <col min="16160" max="16172" width="11" style="12" customWidth="1"/>
    <col min="16173" max="16173" width="12.85546875" style="12" customWidth="1"/>
    <col min="16174" max="16174" width="10" style="12" bestFit="1" customWidth="1"/>
    <col min="16175" max="16384" width="9.140625" style="12"/>
  </cols>
  <sheetData>
    <row r="1" spans="1:46" customFormat="1" ht="15" x14ac:dyDescent="0.25">
      <c r="A1" s="250" t="s">
        <v>5</v>
      </c>
      <c r="B1" s="250"/>
      <c r="C1" s="86"/>
      <c r="D1" s="86"/>
      <c r="E1" s="86"/>
      <c r="F1" s="86"/>
      <c r="G1" s="86"/>
      <c r="H1" s="86"/>
      <c r="I1" s="86"/>
      <c r="J1" s="86"/>
      <c r="O1" s="113"/>
      <c r="P1" s="113"/>
      <c r="AC1" s="113"/>
      <c r="AD1" s="113"/>
      <c r="AQ1" s="113"/>
      <c r="AR1" s="113"/>
    </row>
    <row r="2" spans="1:46" ht="12.75" customHeight="1" x14ac:dyDescent="0.4">
      <c r="A2" s="8"/>
      <c r="B2" s="9"/>
      <c r="C2" s="143" t="str">
        <f>A86</f>
        <v>Срок окупаемости проекта с учетом инвестиций в товар, мес.:</v>
      </c>
      <c r="D2" s="144">
        <f>B86</f>
        <v>3</v>
      </c>
      <c r="E2" s="9"/>
      <c r="F2" s="9"/>
      <c r="G2" s="9"/>
      <c r="H2" s="9"/>
      <c r="I2" s="10"/>
      <c r="J2" s="11"/>
      <c r="K2" s="11"/>
      <c r="L2" s="11"/>
      <c r="M2" s="11"/>
      <c r="N2" s="11"/>
      <c r="O2" s="114"/>
      <c r="P2" s="114"/>
      <c r="Q2" s="9"/>
      <c r="R2" s="63"/>
      <c r="S2" s="9"/>
      <c r="T2" s="9"/>
      <c r="U2" s="9"/>
      <c r="V2" s="9"/>
      <c r="W2" s="10"/>
      <c r="X2" s="11"/>
      <c r="Y2" s="11"/>
      <c r="Z2" s="11"/>
      <c r="AA2" s="11"/>
      <c r="AB2" s="11"/>
      <c r="AC2" s="114"/>
      <c r="AD2" s="114"/>
      <c r="AE2" s="9"/>
      <c r="AF2" s="63"/>
      <c r="AG2" s="9"/>
      <c r="AH2" s="9"/>
      <c r="AI2" s="9"/>
      <c r="AJ2" s="9"/>
      <c r="AK2" s="10"/>
      <c r="AL2" s="11"/>
      <c r="AM2" s="11"/>
      <c r="AN2" s="11"/>
      <c r="AO2" s="11"/>
      <c r="AP2" s="11"/>
      <c r="AQ2" s="114"/>
      <c r="AR2" s="114"/>
      <c r="AS2" s="11"/>
    </row>
    <row r="3" spans="1:46" ht="12.4" hidden="1" x14ac:dyDescent="0.4">
      <c r="C3" s="100">
        <f>'Исходные данные'!$T$2</f>
        <v>2</v>
      </c>
      <c r="D3" s="100">
        <f>IF(C3=12,1,C3+1)</f>
        <v>3</v>
      </c>
      <c r="E3" s="100">
        <f t="shared" ref="E3:AB3" si="0">IF(D3=12,1,D3+1)</f>
        <v>4</v>
      </c>
      <c r="F3" s="100">
        <f t="shared" si="0"/>
        <v>5</v>
      </c>
      <c r="G3" s="100">
        <f t="shared" si="0"/>
        <v>6</v>
      </c>
      <c r="H3" s="100">
        <f t="shared" si="0"/>
        <v>7</v>
      </c>
      <c r="I3" s="100">
        <f t="shared" si="0"/>
        <v>8</v>
      </c>
      <c r="J3" s="100">
        <f t="shared" si="0"/>
        <v>9</v>
      </c>
      <c r="K3" s="100">
        <f t="shared" si="0"/>
        <v>10</v>
      </c>
      <c r="L3" s="100">
        <f t="shared" si="0"/>
        <v>11</v>
      </c>
      <c r="M3" s="100">
        <f t="shared" si="0"/>
        <v>12</v>
      </c>
      <c r="N3" s="100">
        <f t="shared" si="0"/>
        <v>1</v>
      </c>
      <c r="O3" s="117"/>
      <c r="P3" s="117"/>
      <c r="Q3" s="100">
        <f>IF(N3=12,1,N3+1)</f>
        <v>2</v>
      </c>
      <c r="R3" s="100">
        <f t="shared" si="0"/>
        <v>3</v>
      </c>
      <c r="S3" s="100">
        <f t="shared" si="0"/>
        <v>4</v>
      </c>
      <c r="T3" s="100">
        <f t="shared" si="0"/>
        <v>5</v>
      </c>
      <c r="U3" s="100">
        <f t="shared" si="0"/>
        <v>6</v>
      </c>
      <c r="V3" s="100">
        <f t="shared" si="0"/>
        <v>7</v>
      </c>
      <c r="W3" s="100">
        <f t="shared" si="0"/>
        <v>8</v>
      </c>
      <c r="X3" s="100">
        <f t="shared" si="0"/>
        <v>9</v>
      </c>
      <c r="Y3" s="100">
        <f t="shared" si="0"/>
        <v>10</v>
      </c>
      <c r="Z3" s="100">
        <f t="shared" si="0"/>
        <v>11</v>
      </c>
      <c r="AA3" s="100">
        <f t="shared" si="0"/>
        <v>12</v>
      </c>
      <c r="AB3" s="100">
        <f t="shared" si="0"/>
        <v>1</v>
      </c>
      <c r="AC3" s="117"/>
      <c r="AD3" s="117"/>
      <c r="AE3" s="100">
        <f>IF(AB3=12,1,AB3+1)</f>
        <v>2</v>
      </c>
      <c r="AF3" s="100">
        <f t="shared" ref="AF3:AP3" si="1">IF(AE3=12,1,AE3+1)</f>
        <v>3</v>
      </c>
      <c r="AG3" s="100">
        <f t="shared" si="1"/>
        <v>4</v>
      </c>
      <c r="AH3" s="100">
        <f t="shared" si="1"/>
        <v>5</v>
      </c>
      <c r="AI3" s="100">
        <f t="shared" si="1"/>
        <v>6</v>
      </c>
      <c r="AJ3" s="100">
        <f t="shared" si="1"/>
        <v>7</v>
      </c>
      <c r="AK3" s="100">
        <f t="shared" si="1"/>
        <v>8</v>
      </c>
      <c r="AL3" s="100">
        <f t="shared" si="1"/>
        <v>9</v>
      </c>
      <c r="AM3" s="100">
        <f t="shared" si="1"/>
        <v>10</v>
      </c>
      <c r="AN3" s="100">
        <f t="shared" si="1"/>
        <v>11</v>
      </c>
      <c r="AO3" s="100">
        <f t="shared" si="1"/>
        <v>12</v>
      </c>
      <c r="AP3" s="100">
        <f t="shared" si="1"/>
        <v>1</v>
      </c>
      <c r="AQ3" s="117"/>
      <c r="AR3" s="117"/>
    </row>
    <row r="4" spans="1:46" ht="12.4" x14ac:dyDescent="0.4">
      <c r="B4" s="101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18"/>
      <c r="P4" s="118"/>
      <c r="Q4" s="102"/>
      <c r="R4" s="102"/>
      <c r="S4" s="102"/>
      <c r="T4" s="102"/>
      <c r="U4" s="102"/>
      <c r="V4" s="102"/>
      <c r="W4" s="102"/>
      <c r="X4" s="102"/>
      <c r="Y4" s="102"/>
      <c r="AC4" s="118"/>
      <c r="AD4" s="118"/>
      <c r="AE4" s="102"/>
      <c r="AF4" s="102"/>
      <c r="AG4" s="102"/>
      <c r="AH4" s="102"/>
      <c r="AI4" s="102"/>
      <c r="AJ4" s="102"/>
      <c r="AK4" s="102"/>
      <c r="AL4" s="102"/>
      <c r="AM4" s="102"/>
      <c r="AQ4" s="118"/>
      <c r="AR4" s="118"/>
    </row>
    <row r="5" spans="1:46" s="13" customFormat="1" ht="14.25" customHeight="1" thickBot="1" x14ac:dyDescent="0.25">
      <c r="B5" s="75"/>
      <c r="C5" s="253" t="s">
        <v>33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  <c r="Q5" s="256" t="s">
        <v>34</v>
      </c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8"/>
      <c r="AE5" s="259" t="s">
        <v>37</v>
      </c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</row>
    <row r="6" spans="1:46" s="13" customFormat="1" thickTop="1" thickBot="1" x14ac:dyDescent="0.25">
      <c r="A6" s="14" t="s">
        <v>6</v>
      </c>
      <c r="B6" s="17"/>
      <c r="C6" s="104" t="str">
        <f>CHOOSE(C3,'Исходные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февраль</v>
      </c>
      <c r="D6" s="104" t="str">
        <f>CHOOSE(D3,'Исходные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март</v>
      </c>
      <c r="E6" s="104" t="str">
        <f>CHOOSE(E3,'Исходные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апрель</v>
      </c>
      <c r="F6" s="104" t="str">
        <f>CHOOSE(F3,'Исходные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май</v>
      </c>
      <c r="G6" s="104" t="str">
        <f>CHOOSE(G3,'Исходные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июнь</v>
      </c>
      <c r="H6" s="104" t="str">
        <f>CHOOSE(H3,'Исходные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июль</v>
      </c>
      <c r="I6" s="104" t="str">
        <f>CHOOSE(I3,'Исходные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август</v>
      </c>
      <c r="J6" s="104" t="str">
        <f>CHOOSE(J3,'Исходные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сентябрь</v>
      </c>
      <c r="K6" s="104" t="str">
        <f>CHOOSE(K3,'Исходные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октябрь</v>
      </c>
      <c r="L6" s="104" t="str">
        <f>CHOOSE(L3,'Исходные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ноябрь</v>
      </c>
      <c r="M6" s="104" t="str">
        <f>CHOOSE(M3,'Исходные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декабрь</v>
      </c>
      <c r="N6" s="104" t="str">
        <f>CHOOSE(N3,'Исходные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январь</v>
      </c>
      <c r="O6" s="119"/>
      <c r="P6" s="119"/>
      <c r="Q6" s="104" t="str">
        <f>CHOOSE(Q3,'Исходные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февраль</v>
      </c>
      <c r="R6" s="104" t="str">
        <f>CHOOSE(R3,'Исходные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март</v>
      </c>
      <c r="S6" s="104" t="str">
        <f>CHOOSE(S3,'Исходные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апрель</v>
      </c>
      <c r="T6" s="104" t="str">
        <f>CHOOSE(T3,'Исходные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май</v>
      </c>
      <c r="U6" s="104" t="str">
        <f>CHOOSE(U3,'Исходные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июнь</v>
      </c>
      <c r="V6" s="104" t="str">
        <f>CHOOSE(V3,'Исходные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июль</v>
      </c>
      <c r="W6" s="104" t="str">
        <f>CHOOSE(W3,'Исходные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август</v>
      </c>
      <c r="X6" s="104" t="str">
        <f>CHOOSE(X3,'Исходные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сентябрь</v>
      </c>
      <c r="Y6" s="104" t="str">
        <f>CHOOSE(Y3,'Исходные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октябрь</v>
      </c>
      <c r="Z6" s="104" t="str">
        <f>CHOOSE(Z3,'Исходные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ноябрь</v>
      </c>
      <c r="AA6" s="104" t="str">
        <f>CHOOSE(AA3,'Исходные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декабрь</v>
      </c>
      <c r="AB6" s="104" t="str">
        <f>CHOOSE(AB3,'Исходные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январь</v>
      </c>
      <c r="AC6" s="119"/>
      <c r="AD6" s="119"/>
      <c r="AE6" s="104" t="str">
        <f>CHOOSE(AE3,'Исходные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февраль</v>
      </c>
      <c r="AF6" s="104" t="str">
        <f>CHOOSE(AF3,'Исходные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март</v>
      </c>
      <c r="AG6" s="104" t="str">
        <f>CHOOSE(AG3,'Исходные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апрель</v>
      </c>
      <c r="AH6" s="104" t="str">
        <f>CHOOSE(AH3,'Исходные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май</v>
      </c>
      <c r="AI6" s="104" t="str">
        <f>CHOOSE(AI3,'Исходные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июнь</v>
      </c>
      <c r="AJ6" s="104" t="str">
        <f>CHOOSE(AJ3,'Исходные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июль</v>
      </c>
      <c r="AK6" s="104" t="str">
        <f>CHOOSE(AK3,'Исходные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август</v>
      </c>
      <c r="AL6" s="104" t="str">
        <f>CHOOSE(AL3,'Исходные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сентябрь</v>
      </c>
      <c r="AM6" s="104" t="str">
        <f>CHOOSE(AM3,'Исходные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октябрь</v>
      </c>
      <c r="AN6" s="104" t="str">
        <f>CHOOSE(AN3,'Исходные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ноябрь</v>
      </c>
      <c r="AO6" s="104" t="str">
        <f>CHOOSE(AO3,'Исходные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декабрь</v>
      </c>
      <c r="AP6" s="104" t="str">
        <f>CHOOSE(AP3,'Исходные данные'!$U$2,'Исходные данные'!$U$3,'Исходные данные'!$U$4,'Исходные данные'!$U$5,'Исходные данные'!$U$6,'Исходные данные'!$U$7,'Исходные данные'!$U$8,'Исходные данные'!$U$9,'Исходные данные'!$U$10,'Исходные данные'!$U$11,'Исходные данные'!$U$12,'Исходные данные'!$U$13)</f>
        <v>январь</v>
      </c>
      <c r="AQ6" s="119"/>
      <c r="AR6" s="119"/>
      <c r="AS6" s="16"/>
    </row>
    <row r="7" spans="1:46" s="13" customFormat="1" ht="12" thickTop="1" x14ac:dyDescent="0.2">
      <c r="A7" s="99" t="s">
        <v>82</v>
      </c>
      <c r="B7" s="66"/>
      <c r="C7" s="97">
        <v>1</v>
      </c>
      <c r="D7" s="97">
        <v>1</v>
      </c>
      <c r="E7" s="97">
        <v>1</v>
      </c>
      <c r="F7" s="97">
        <v>1</v>
      </c>
      <c r="G7" s="97">
        <v>1</v>
      </c>
      <c r="H7" s="97">
        <v>1</v>
      </c>
      <c r="I7" s="97">
        <v>1</v>
      </c>
      <c r="J7" s="97">
        <v>1</v>
      </c>
      <c r="K7" s="97">
        <v>1</v>
      </c>
      <c r="L7" s="97">
        <v>1</v>
      </c>
      <c r="M7" s="97">
        <v>1</v>
      </c>
      <c r="N7" s="97">
        <v>1</v>
      </c>
      <c r="O7" s="116"/>
      <c r="P7" s="116"/>
      <c r="Q7" s="97">
        <v>1</v>
      </c>
      <c r="R7" s="97">
        <v>1</v>
      </c>
      <c r="S7" s="97">
        <v>1</v>
      </c>
      <c r="T7" s="97">
        <v>1</v>
      </c>
      <c r="U7" s="97">
        <v>1</v>
      </c>
      <c r="V7" s="97">
        <v>1</v>
      </c>
      <c r="W7" s="97">
        <v>1</v>
      </c>
      <c r="X7" s="97">
        <v>1</v>
      </c>
      <c r="Y7" s="97">
        <v>1</v>
      </c>
      <c r="Z7" s="97">
        <v>1</v>
      </c>
      <c r="AA7" s="97">
        <v>1</v>
      </c>
      <c r="AB7" s="97">
        <v>1</v>
      </c>
      <c r="AC7" s="116"/>
      <c r="AD7" s="116"/>
      <c r="AE7" s="97">
        <v>1</v>
      </c>
      <c r="AF7" s="97">
        <v>1</v>
      </c>
      <c r="AG7" s="97">
        <v>1</v>
      </c>
      <c r="AH7" s="97">
        <v>1</v>
      </c>
      <c r="AI7" s="97">
        <v>1</v>
      </c>
      <c r="AJ7" s="97">
        <v>1</v>
      </c>
      <c r="AK7" s="97">
        <v>1</v>
      </c>
      <c r="AL7" s="97">
        <v>1</v>
      </c>
      <c r="AM7" s="97">
        <v>1</v>
      </c>
      <c r="AN7" s="97">
        <v>1</v>
      </c>
      <c r="AO7" s="97">
        <v>1</v>
      </c>
      <c r="AP7" s="97">
        <v>1</v>
      </c>
      <c r="AQ7" s="116"/>
      <c r="AR7" s="116"/>
      <c r="AS7" s="98"/>
    </row>
    <row r="8" spans="1:46" x14ac:dyDescent="0.2">
      <c r="A8" s="13" t="s">
        <v>83</v>
      </c>
      <c r="C8" s="97">
        <v>1</v>
      </c>
      <c r="D8" s="97">
        <v>1</v>
      </c>
      <c r="E8" s="97">
        <v>1</v>
      </c>
      <c r="F8" s="97">
        <v>1</v>
      </c>
      <c r="G8" s="97">
        <v>1</v>
      </c>
      <c r="H8" s="97">
        <v>1</v>
      </c>
      <c r="I8" s="97">
        <v>1</v>
      </c>
      <c r="J8" s="97">
        <v>1</v>
      </c>
      <c r="K8" s="97">
        <v>1</v>
      </c>
      <c r="L8" s="97">
        <v>1</v>
      </c>
      <c r="M8" s="97">
        <v>1</v>
      </c>
      <c r="N8" s="97">
        <v>1</v>
      </c>
      <c r="O8" s="116"/>
      <c r="P8" s="116"/>
      <c r="Q8" s="97">
        <v>1</v>
      </c>
      <c r="R8" s="97">
        <v>1</v>
      </c>
      <c r="S8" s="97">
        <v>1</v>
      </c>
      <c r="T8" s="97">
        <v>1</v>
      </c>
      <c r="U8" s="97">
        <v>1</v>
      </c>
      <c r="V8" s="97">
        <v>1</v>
      </c>
      <c r="W8" s="97">
        <v>1</v>
      </c>
      <c r="X8" s="97">
        <v>1</v>
      </c>
      <c r="Y8" s="97">
        <v>1</v>
      </c>
      <c r="Z8" s="97">
        <v>1</v>
      </c>
      <c r="AA8" s="97">
        <v>1</v>
      </c>
      <c r="AB8" s="97">
        <v>1</v>
      </c>
      <c r="AC8" s="116"/>
      <c r="AD8" s="116"/>
      <c r="AE8" s="97">
        <v>1</v>
      </c>
      <c r="AF8" s="97">
        <v>1</v>
      </c>
      <c r="AG8" s="97">
        <v>1</v>
      </c>
      <c r="AH8" s="97">
        <v>1</v>
      </c>
      <c r="AI8" s="97">
        <v>1</v>
      </c>
      <c r="AJ8" s="97">
        <v>1</v>
      </c>
      <c r="AK8" s="97">
        <v>1</v>
      </c>
      <c r="AL8" s="97">
        <v>1</v>
      </c>
      <c r="AM8" s="97">
        <v>1</v>
      </c>
      <c r="AN8" s="97">
        <v>1</v>
      </c>
      <c r="AO8" s="97">
        <v>1</v>
      </c>
      <c r="AP8" s="97">
        <v>1</v>
      </c>
      <c r="AQ8" s="116"/>
      <c r="AR8" s="116"/>
    </row>
    <row r="9" spans="1:46" s="13" customFormat="1" ht="11.25" x14ac:dyDescent="0.2">
      <c r="A9" s="99" t="s">
        <v>84</v>
      </c>
      <c r="B9" s="66"/>
      <c r="C9" s="97">
        <v>1</v>
      </c>
      <c r="D9" s="97">
        <v>1</v>
      </c>
      <c r="E9" s="97">
        <v>1</v>
      </c>
      <c r="F9" s="97">
        <v>1</v>
      </c>
      <c r="G9" s="97">
        <v>1</v>
      </c>
      <c r="H9" s="97">
        <v>1</v>
      </c>
      <c r="I9" s="97">
        <v>1</v>
      </c>
      <c r="J9" s="97">
        <v>1</v>
      </c>
      <c r="K9" s="97">
        <v>1</v>
      </c>
      <c r="L9" s="97">
        <v>1</v>
      </c>
      <c r="M9" s="97">
        <v>1</v>
      </c>
      <c r="N9" s="97">
        <v>1</v>
      </c>
      <c r="O9" s="116"/>
      <c r="P9" s="116"/>
      <c r="Q9" s="97">
        <v>1</v>
      </c>
      <c r="R9" s="97">
        <v>1</v>
      </c>
      <c r="S9" s="97">
        <v>1</v>
      </c>
      <c r="T9" s="97">
        <v>1</v>
      </c>
      <c r="U9" s="97">
        <v>1</v>
      </c>
      <c r="V9" s="97">
        <v>1</v>
      </c>
      <c r="W9" s="97">
        <v>1</v>
      </c>
      <c r="X9" s="97">
        <v>1</v>
      </c>
      <c r="Y9" s="97">
        <v>1</v>
      </c>
      <c r="Z9" s="97">
        <v>1</v>
      </c>
      <c r="AA9" s="97">
        <v>1</v>
      </c>
      <c r="AB9" s="97">
        <v>1</v>
      </c>
      <c r="AC9" s="116"/>
      <c r="AD9" s="116"/>
      <c r="AE9" s="97">
        <v>1</v>
      </c>
      <c r="AF9" s="97">
        <v>1</v>
      </c>
      <c r="AG9" s="97">
        <v>1</v>
      </c>
      <c r="AH9" s="97">
        <v>1</v>
      </c>
      <c r="AI9" s="97">
        <v>1</v>
      </c>
      <c r="AJ9" s="97">
        <v>1</v>
      </c>
      <c r="AK9" s="97">
        <v>1</v>
      </c>
      <c r="AL9" s="97">
        <v>1</v>
      </c>
      <c r="AM9" s="97">
        <v>1</v>
      </c>
      <c r="AN9" s="97">
        <v>1</v>
      </c>
      <c r="AO9" s="97">
        <v>1</v>
      </c>
      <c r="AP9" s="97">
        <v>1</v>
      </c>
      <c r="AQ9" s="116"/>
      <c r="AR9" s="116"/>
      <c r="AS9" s="98"/>
    </row>
    <row r="10" spans="1:46" x14ac:dyDescent="0.2">
      <c r="A10" s="13" t="s">
        <v>85</v>
      </c>
      <c r="C10" s="97">
        <v>1</v>
      </c>
      <c r="D10" s="97">
        <v>1</v>
      </c>
      <c r="E10" s="97">
        <v>1</v>
      </c>
      <c r="F10" s="97">
        <v>1</v>
      </c>
      <c r="G10" s="97">
        <v>1</v>
      </c>
      <c r="H10" s="97">
        <v>1</v>
      </c>
      <c r="I10" s="97">
        <v>1</v>
      </c>
      <c r="J10" s="97">
        <v>1</v>
      </c>
      <c r="K10" s="97">
        <v>1</v>
      </c>
      <c r="L10" s="97">
        <v>1</v>
      </c>
      <c r="M10" s="97">
        <v>1</v>
      </c>
      <c r="N10" s="97">
        <v>1</v>
      </c>
      <c r="O10" s="116"/>
      <c r="P10" s="116"/>
      <c r="Q10" s="97">
        <v>1</v>
      </c>
      <c r="R10" s="97">
        <v>1</v>
      </c>
      <c r="S10" s="97">
        <v>1</v>
      </c>
      <c r="T10" s="97">
        <v>1</v>
      </c>
      <c r="U10" s="97">
        <v>1</v>
      </c>
      <c r="V10" s="97">
        <v>1</v>
      </c>
      <c r="W10" s="97">
        <v>1</v>
      </c>
      <c r="X10" s="97">
        <v>1</v>
      </c>
      <c r="Y10" s="97">
        <v>1</v>
      </c>
      <c r="Z10" s="97">
        <v>1</v>
      </c>
      <c r="AA10" s="97">
        <v>1</v>
      </c>
      <c r="AB10" s="97">
        <v>1</v>
      </c>
      <c r="AC10" s="116"/>
      <c r="AD10" s="116"/>
      <c r="AE10" s="97">
        <v>1</v>
      </c>
      <c r="AF10" s="97">
        <v>1</v>
      </c>
      <c r="AG10" s="97">
        <v>1</v>
      </c>
      <c r="AH10" s="97">
        <v>1</v>
      </c>
      <c r="AI10" s="97">
        <v>1</v>
      </c>
      <c r="AJ10" s="97">
        <v>1</v>
      </c>
      <c r="AK10" s="97">
        <v>1</v>
      </c>
      <c r="AL10" s="97">
        <v>1</v>
      </c>
      <c r="AM10" s="97">
        <v>1</v>
      </c>
      <c r="AN10" s="97">
        <v>1</v>
      </c>
      <c r="AO10" s="97">
        <v>1</v>
      </c>
      <c r="AP10" s="97">
        <v>1</v>
      </c>
      <c r="AQ10" s="116"/>
      <c r="AR10" s="116"/>
    </row>
    <row r="11" spans="1:46" s="13" customFormat="1" ht="11.25" x14ac:dyDescent="0.2">
      <c r="A11" s="13" t="s">
        <v>86</v>
      </c>
      <c r="O11" s="120"/>
      <c r="P11" s="120"/>
      <c r="AC11" s="120"/>
      <c r="AD11" s="120"/>
      <c r="AQ11" s="120"/>
      <c r="AR11" s="120"/>
    </row>
    <row r="12" spans="1:46" s="13" customFormat="1" ht="13.5" customHeight="1" thickBot="1" x14ac:dyDescent="0.25">
      <c r="A12" s="75"/>
      <c r="B12" s="75"/>
      <c r="C12" s="256" t="s">
        <v>33</v>
      </c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8"/>
      <c r="Q12" s="256" t="s">
        <v>34</v>
      </c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8"/>
      <c r="AE12" s="259" t="s">
        <v>37</v>
      </c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1" t="s">
        <v>44</v>
      </c>
    </row>
    <row r="13" spans="1:46" s="20" customFormat="1" ht="24" thickTop="1" thickBot="1" x14ac:dyDescent="0.25">
      <c r="A13" s="18" t="s">
        <v>7</v>
      </c>
      <c r="B13" s="19"/>
      <c r="C13" s="103" t="str">
        <f t="shared" ref="C13:N13" si="2">C$6</f>
        <v>февраль</v>
      </c>
      <c r="D13" s="103" t="str">
        <f t="shared" si="2"/>
        <v>март</v>
      </c>
      <c r="E13" s="103" t="str">
        <f t="shared" si="2"/>
        <v>апрель</v>
      </c>
      <c r="F13" s="103" t="str">
        <f t="shared" si="2"/>
        <v>май</v>
      </c>
      <c r="G13" s="103" t="str">
        <f t="shared" si="2"/>
        <v>июнь</v>
      </c>
      <c r="H13" s="103" t="str">
        <f t="shared" si="2"/>
        <v>июль</v>
      </c>
      <c r="I13" s="103" t="str">
        <f t="shared" si="2"/>
        <v>август</v>
      </c>
      <c r="J13" s="103" t="str">
        <f t="shared" si="2"/>
        <v>сентябрь</v>
      </c>
      <c r="K13" s="103" t="str">
        <f t="shared" si="2"/>
        <v>октябрь</v>
      </c>
      <c r="L13" s="103" t="str">
        <f t="shared" si="2"/>
        <v>ноябрь</v>
      </c>
      <c r="M13" s="103" t="str">
        <f t="shared" si="2"/>
        <v>декабрь</v>
      </c>
      <c r="N13" s="103" t="str">
        <f t="shared" si="2"/>
        <v>январь</v>
      </c>
      <c r="O13" s="121" t="s">
        <v>38</v>
      </c>
      <c r="P13" s="121" t="s">
        <v>39</v>
      </c>
      <c r="Q13" s="103" t="str">
        <f t="shared" ref="Q13:AB13" si="3">Q$6</f>
        <v>февраль</v>
      </c>
      <c r="R13" s="103" t="str">
        <f t="shared" si="3"/>
        <v>март</v>
      </c>
      <c r="S13" s="103" t="str">
        <f t="shared" si="3"/>
        <v>апрель</v>
      </c>
      <c r="T13" s="103" t="str">
        <f t="shared" si="3"/>
        <v>май</v>
      </c>
      <c r="U13" s="103" t="str">
        <f t="shared" si="3"/>
        <v>июнь</v>
      </c>
      <c r="V13" s="103" t="str">
        <f t="shared" si="3"/>
        <v>июль</v>
      </c>
      <c r="W13" s="103" t="str">
        <f t="shared" si="3"/>
        <v>август</v>
      </c>
      <c r="X13" s="103" t="str">
        <f t="shared" si="3"/>
        <v>сентябрь</v>
      </c>
      <c r="Y13" s="103" t="str">
        <f t="shared" si="3"/>
        <v>октябрь</v>
      </c>
      <c r="Z13" s="103" t="str">
        <f t="shared" si="3"/>
        <v>ноябрь</v>
      </c>
      <c r="AA13" s="103" t="str">
        <f t="shared" si="3"/>
        <v>декабрь</v>
      </c>
      <c r="AB13" s="103" t="str">
        <f t="shared" si="3"/>
        <v>январь</v>
      </c>
      <c r="AC13" s="121" t="s">
        <v>41</v>
      </c>
      <c r="AD13" s="121" t="s">
        <v>40</v>
      </c>
      <c r="AE13" s="103" t="str">
        <f t="shared" ref="AE13:AP13" si="4">AE$6</f>
        <v>февраль</v>
      </c>
      <c r="AF13" s="103" t="str">
        <f t="shared" si="4"/>
        <v>март</v>
      </c>
      <c r="AG13" s="103" t="str">
        <f t="shared" si="4"/>
        <v>апрель</v>
      </c>
      <c r="AH13" s="103" t="str">
        <f t="shared" si="4"/>
        <v>май</v>
      </c>
      <c r="AI13" s="103" t="str">
        <f t="shared" si="4"/>
        <v>июнь</v>
      </c>
      <c r="AJ13" s="103" t="str">
        <f t="shared" si="4"/>
        <v>июль</v>
      </c>
      <c r="AK13" s="103" t="str">
        <f t="shared" si="4"/>
        <v>август</v>
      </c>
      <c r="AL13" s="103" t="str">
        <f t="shared" si="4"/>
        <v>сентябрь</v>
      </c>
      <c r="AM13" s="103" t="str">
        <f t="shared" si="4"/>
        <v>октябрь</v>
      </c>
      <c r="AN13" s="103" t="str">
        <f t="shared" si="4"/>
        <v>ноябрь</v>
      </c>
      <c r="AO13" s="103" t="str">
        <f t="shared" si="4"/>
        <v>декабрь</v>
      </c>
      <c r="AP13" s="103" t="str">
        <f t="shared" si="4"/>
        <v>январь</v>
      </c>
      <c r="AQ13" s="121" t="s">
        <v>42</v>
      </c>
      <c r="AR13" s="121" t="s">
        <v>43</v>
      </c>
      <c r="AS13" s="252"/>
    </row>
    <row r="14" spans="1:46" s="36" customFormat="1" ht="10.9" thickTop="1" x14ac:dyDescent="0.35">
      <c r="A14" s="64" t="str">
        <f>'Исходные данные'!A9</f>
        <v>Теплицы</v>
      </c>
      <c r="B14" s="22" t="str">
        <f>CHOOSE('Исходные данные'!$R$2,'Исходные данные'!$S$2,'Исходные данные'!$S$3,'Исходные данные'!$S$4,'Исходные данные'!$S$5)</f>
        <v>RUB</v>
      </c>
      <c r="C14" s="34">
        <f>C$7*C$8*'Исходные данные'!$C9*CHOOSE('Детальный расчет'!C$3,'Исходные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расчет'!C$3,'Детальный расчет'!C$3&lt;=6),(1+'Исходные данные'!$I9),1)*IF(AND(7&lt;='Детальный расчет'!C$3,'Детальный расчет'!C$3&lt;=9),(1+'Исходные данные'!$J9),1)</f>
        <v>145000</v>
      </c>
      <c r="D14" s="34">
        <f>D$7*D$8*'Исходные данные'!$C9*CHOOSE('Детальный расчет'!D$3,'Исходные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расчет'!D$3,'Детальный расчет'!D$3&lt;=6),(1+'Исходные данные'!$I9),1)*IF(AND(7&lt;='Детальный расчет'!D$3,'Детальный расчет'!D$3&lt;=9),(1+'Исходные данные'!$J9),1)</f>
        <v>290000</v>
      </c>
      <c r="E14" s="34">
        <f>E$7*E$8*'Исходные данные'!$C9*CHOOSE('Детальный расчет'!E$3,'Исходные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расчет'!E$3,'Детальный расчет'!E$3&lt;=6),(1+'Исходные данные'!$I9),1)*IF(AND(7&lt;='Детальный расчет'!E$3,'Детальный расчет'!E$3&lt;=9),(1+'Исходные данные'!$J9),1)</f>
        <v>841000</v>
      </c>
      <c r="F14" s="34">
        <f>F$7*F$8*'Исходные данные'!$C9*CHOOSE('Детальный расчет'!F$3,'Исходные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расчет'!F$3,'Детальный расчет'!F$3&lt;=6),(1+'Исходные данные'!$I9),1)*IF(AND(7&lt;='Детальный расчет'!F$3,'Детальный расчет'!F$3&lt;=9),(1+'Исходные данные'!$J9),1)</f>
        <v>504599.99999999994</v>
      </c>
      <c r="G14" s="34">
        <f>G$7*G$8*'Исходные данные'!$C9*CHOOSE('Детальный расчет'!G$3,'Исходные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расчет'!G$3,'Детальный расчет'!G$3&lt;=6),(1+'Исходные данные'!$I9),1)*IF(AND(7&lt;='Детальный расчет'!G$3,'Детальный расчет'!G$3&lt;=9),(1+'Исходные данные'!$J9),1)</f>
        <v>336400</v>
      </c>
      <c r="H14" s="34">
        <f>H$7*H$8*'Исходные данные'!$C9*CHOOSE('Детальный расчет'!H$3,'Исходные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расчет'!H$3,'Детальный расчет'!H$3&lt;=6),(1+'Исходные данные'!$I9),1)*IF(AND(7&lt;='Детальный расчет'!H$3,'Детальный расчет'!H$3&lt;=9),(1+'Исходные данные'!$J9),1)</f>
        <v>156600</v>
      </c>
      <c r="I14" s="34">
        <f>I$7*I$8*'Исходные данные'!$C9*CHOOSE('Детальный расчет'!I$3,'Исходные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расчет'!I$3,'Детальный расчет'!I$3&lt;=6),(1+'Исходные данные'!$I9),1)*IF(AND(7&lt;='Детальный расчет'!I$3,'Детальный расчет'!I$3&lt;=9),(1+'Исходные данные'!$J9),1)</f>
        <v>156600</v>
      </c>
      <c r="J14" s="34">
        <f>J$7*J$8*'Исходные данные'!$C9*CHOOSE('Детальный расчет'!J$3,'Исходные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расчет'!J$3,'Детальный расчет'!J$3&lt;=6),(1+'Исходные данные'!$I9),1)*IF(AND(7&lt;='Детальный расчет'!J$3,'Детальный расчет'!J$3&lt;=9),(1+'Исходные данные'!$J9),1)</f>
        <v>469800.00000000006</v>
      </c>
      <c r="K14" s="34">
        <f>K$7*K$8*'Исходные данные'!$C9*CHOOSE('Детальный расчет'!K$3,'Исходные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расчет'!K$3,'Детальный расчет'!K$3&lt;=6),(1+'Исходные данные'!$I9),1)*IF(AND(7&lt;='Детальный расчет'!K$3,'Детальный расчет'!K$3&lt;=9),(1+'Исходные данные'!$J9),1)</f>
        <v>290000</v>
      </c>
      <c r="L14" s="34">
        <f>L$7*L$8*'Исходные данные'!$C9*CHOOSE('Детальный расчет'!L$3,'Исходные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расчет'!L$3,'Детальный расчет'!L$3&lt;=6),(1+'Исходные данные'!$I9),1)*IF(AND(7&lt;='Детальный расчет'!L$3,'Детальный расчет'!L$3&lt;=9),(1+'Исходные данные'!$J9),1)</f>
        <v>145000</v>
      </c>
      <c r="M14" s="34">
        <f>M$7*M$8*'Исходные данные'!$C9*CHOOSE('Детальный расчет'!M$3,'Исходные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расчет'!M$3,'Детальный расчет'!M$3&lt;=6),(1+'Исходные данные'!$I9),1)*IF(AND(7&lt;='Детальный расчет'!M$3,'Детальный расчет'!M$3&lt;=9),(1+'Исходные данные'!$J9),1)</f>
        <v>87000</v>
      </c>
      <c r="N14" s="34">
        <f>N$7*N$8*'Исходные данные'!$C9*CHOOSE('Детальный расчет'!N$3,'Исходные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расчет'!N$3,'Детальный расчет'!N$3&lt;=6),(1+'Исходные данные'!$I9),1)*IF(AND(7&lt;='Детальный расчет'!N$3,'Детальный расчет'!N$3&lt;=9),(1+'Исходные данные'!$J9),1)</f>
        <v>87000</v>
      </c>
      <c r="O14" s="122">
        <f t="shared" ref="O14:O16" si="5">SUM(C14:N14)</f>
        <v>3509000</v>
      </c>
      <c r="P14" s="122">
        <f t="shared" ref="P14:P16" si="6">O14/12</f>
        <v>292416.66666666669</v>
      </c>
      <c r="Q14" s="34">
        <f>Q$7*Q$8*'Исходные данные'!$C9*CHOOSE('Детальный расчет'!Q$3,'Исходные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расчет'!Q$3,'Детальный расчет'!Q$3&lt;=6),(1+'Исходные данные'!$I9),1)*IF(AND(7&lt;='Детальный расчет'!Q$3,'Детальный расчет'!Q$3&lt;=9),(1+'Исходные данные'!$J9),1)</f>
        <v>145000</v>
      </c>
      <c r="R14" s="34">
        <f>R$7*R$8*'Исходные данные'!$C9*CHOOSE('Детальный расчет'!R$3,'Исходные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расчет'!R$3,'Детальный расчет'!R$3&lt;=6),(1+'Исходные данные'!$I9),1)*IF(AND(7&lt;='Детальный расчет'!R$3,'Детальный расчет'!R$3&lt;=9),(1+'Исходные данные'!$J9),1)</f>
        <v>290000</v>
      </c>
      <c r="S14" s="34">
        <f>S$7*S$8*'Исходные данные'!$C9*CHOOSE('Детальный расчет'!S$3,'Исходные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расчет'!S$3,'Детальный расчет'!S$3&lt;=6),(1+'Исходные данные'!$I9),1)*IF(AND(7&lt;='Детальный расчет'!S$3,'Детальный расчет'!S$3&lt;=9),(1+'Исходные данные'!$J9),1)</f>
        <v>841000</v>
      </c>
      <c r="T14" s="34">
        <f>T$7*T$8*'Исходные данные'!$C9*CHOOSE('Детальный расчет'!T$3,'Исходные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расчет'!T$3,'Детальный расчет'!T$3&lt;=6),(1+'Исходные данные'!$I9),1)*IF(AND(7&lt;='Детальный расчет'!T$3,'Детальный расчет'!T$3&lt;=9),(1+'Исходные данные'!$J9),1)</f>
        <v>504599.99999999994</v>
      </c>
      <c r="U14" s="34">
        <f>U$7*U$8*'Исходные данные'!$C9*CHOOSE('Детальный расчет'!U$3,'Исходные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расчет'!U$3,'Детальный расчет'!U$3&lt;=6),(1+'Исходные данные'!$I9),1)*IF(AND(7&lt;='Детальный расчет'!U$3,'Детальный расчет'!U$3&lt;=9),(1+'Исходные данные'!$J9),1)</f>
        <v>336400</v>
      </c>
      <c r="V14" s="34">
        <f>V$7*V$8*'Исходные данные'!$C9*CHOOSE('Детальный расчет'!V$3,'Исходные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расчет'!V$3,'Детальный расчет'!V$3&lt;=6),(1+'Исходные данные'!$I9),1)*IF(AND(7&lt;='Детальный расчет'!V$3,'Детальный расчет'!V$3&lt;=9),(1+'Исходные данные'!$J9),1)</f>
        <v>156600</v>
      </c>
      <c r="W14" s="34">
        <f>W$7*W$8*'Исходные данные'!$C9*CHOOSE('Детальный расчет'!W$3,'Исходные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расчет'!W$3,'Детальный расчет'!W$3&lt;=6),(1+'Исходные данные'!$I9),1)*IF(AND(7&lt;='Детальный расчет'!W$3,'Детальный расчет'!W$3&lt;=9),(1+'Исходные данные'!$J9),1)</f>
        <v>156600</v>
      </c>
      <c r="X14" s="34">
        <f>X$7*X$8*'Исходные данные'!$C9*CHOOSE('Детальный расчет'!X$3,'Исходные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расчет'!X$3,'Детальный расчет'!X$3&lt;=6),(1+'Исходные данные'!$I9),1)*IF(AND(7&lt;='Детальный расчет'!X$3,'Детальный расчет'!X$3&lt;=9),(1+'Исходные данные'!$J9),1)</f>
        <v>469800.00000000006</v>
      </c>
      <c r="Y14" s="34">
        <f>Y$7*Y$8*'Исходные данные'!$C9*CHOOSE('Детальный расчет'!Y$3,'Исходные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расчет'!Y$3,'Детальный расчет'!Y$3&lt;=6),(1+'Исходные данные'!$I9),1)*IF(AND(7&lt;='Детальный расчет'!Y$3,'Детальный расчет'!Y$3&lt;=9),(1+'Исходные данные'!$J9),1)</f>
        <v>290000</v>
      </c>
      <c r="Z14" s="34">
        <f>Z$7*Z$8*'Исходные данные'!$C9*CHOOSE('Детальный расчет'!Z$3,'Исходные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расчет'!Z$3,'Детальный расчет'!Z$3&lt;=6),(1+'Исходные данные'!$I9),1)*IF(AND(7&lt;='Детальный расчет'!Z$3,'Детальный расчет'!Z$3&lt;=9),(1+'Исходные данные'!$J9),1)</f>
        <v>145000</v>
      </c>
      <c r="AA14" s="34">
        <f>AA$7*AA$8*'Исходные данные'!$C9*CHOOSE('Детальный расчет'!AA$3,'Исходные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расчет'!AA$3,'Детальный расчет'!AA$3&lt;=6),(1+'Исходные данные'!$I9),1)*IF(AND(7&lt;='Детальный расчет'!AA$3,'Детальный расчет'!AA$3&lt;=9),(1+'Исходные данные'!$J9),1)</f>
        <v>87000</v>
      </c>
      <c r="AB14" s="34">
        <f>AB$7*AB$8*'Исходные данные'!$C9*CHOOSE('Детальный расчет'!AB$3,'Исходные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расчет'!AB$3,'Детальный расчет'!AB$3&lt;=6),(1+'Исходные данные'!$I9),1)*IF(AND(7&lt;='Детальный расчет'!AB$3,'Детальный расчет'!AB$3&lt;=9),(1+'Исходные данные'!$J9),1)</f>
        <v>87000</v>
      </c>
      <c r="AC14" s="122">
        <f t="shared" ref="AC14:AC16" si="7">SUM(Q14:AB14)</f>
        <v>3509000</v>
      </c>
      <c r="AD14" s="122">
        <f t="shared" ref="AD14:AD16" si="8">AC14/12</f>
        <v>292416.66666666669</v>
      </c>
      <c r="AE14" s="34">
        <f>AE$7*AE$8*'Исходные данные'!$C9*CHOOSE('Детальный расчет'!AE$3,'Исходные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расчет'!AE$3,'Детальный расчет'!AE$3&lt;=6),(1+'Исходные данные'!$I9),1)*IF(AND(7&lt;='Детальный расчет'!AE$3,'Детальный расчет'!AE$3&lt;=9),(1+'Исходные данные'!$J9),1)</f>
        <v>145000</v>
      </c>
      <c r="AF14" s="34">
        <f>AF$7*AF$8*'Исходные данные'!$C9*CHOOSE('Детальный расчет'!AF$3,'Исходные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расчет'!AF$3,'Детальный расчет'!AF$3&lt;=6),(1+'Исходные данные'!$I9),1)*IF(AND(7&lt;='Детальный расчет'!AF$3,'Детальный расчет'!AF$3&lt;=9),(1+'Исходные данные'!$J9),1)</f>
        <v>290000</v>
      </c>
      <c r="AG14" s="34">
        <f>AG$7*AG$8*'Исходные данные'!$C9*CHOOSE('Детальный расчет'!AG$3,'Исходные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расчет'!AG$3,'Детальный расчет'!AG$3&lt;=6),(1+'Исходные данные'!$I9),1)*IF(AND(7&lt;='Детальный расчет'!AG$3,'Детальный расчет'!AG$3&lt;=9),(1+'Исходные данные'!$J9),1)</f>
        <v>841000</v>
      </c>
      <c r="AH14" s="34">
        <f>AH$7*AH$8*'Исходные данные'!$C9*CHOOSE('Детальный расчет'!AH$3,'Исходные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расчет'!AH$3,'Детальный расчет'!AH$3&lt;=6),(1+'Исходные данные'!$I9),1)*IF(AND(7&lt;='Детальный расчет'!AH$3,'Детальный расчет'!AH$3&lt;=9),(1+'Исходные данные'!$J9),1)</f>
        <v>504599.99999999994</v>
      </c>
      <c r="AI14" s="34">
        <f>AI$7*AI$8*'Исходные данные'!$C9*CHOOSE('Детальный расчет'!AI$3,'Исходные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расчет'!AI$3,'Детальный расчет'!AI$3&lt;=6),(1+'Исходные данные'!$I9),1)*IF(AND(7&lt;='Детальный расчет'!AI$3,'Детальный расчет'!AI$3&lt;=9),(1+'Исходные данные'!$J9),1)</f>
        <v>336400</v>
      </c>
      <c r="AJ14" s="34">
        <f>AJ$7*AJ$8*'Исходные данные'!$C9*CHOOSE('Детальный расчет'!AJ$3,'Исходные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расчет'!AJ$3,'Детальный расчет'!AJ$3&lt;=6),(1+'Исходные данные'!$I9),1)*IF(AND(7&lt;='Детальный расчет'!AJ$3,'Детальный расчет'!AJ$3&lt;=9),(1+'Исходные данные'!$J9),1)</f>
        <v>156600</v>
      </c>
      <c r="AK14" s="34">
        <f>AK$7*AK$8*'Исходные данные'!$C9*CHOOSE('Детальный расчет'!AK$3,'Исходные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расчет'!AK$3,'Детальный расчет'!AK$3&lt;=6),(1+'Исходные данные'!$I9),1)*IF(AND(7&lt;='Детальный расчет'!AK$3,'Детальный расчет'!AK$3&lt;=9),(1+'Исходные данные'!$J9),1)</f>
        <v>156600</v>
      </c>
      <c r="AL14" s="34">
        <f>AL$7*AL$8*'Исходные данные'!$C9*CHOOSE('Детальный расчет'!AL$3,'Исходные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расчет'!AL$3,'Детальный расчет'!AL$3&lt;=6),(1+'Исходные данные'!$I9),1)*IF(AND(7&lt;='Детальный расчет'!AL$3,'Детальный расчет'!AL$3&lt;=9),(1+'Исходные данные'!$J9),1)</f>
        <v>469800.00000000006</v>
      </c>
      <c r="AM14" s="34">
        <f>AM$7*AM$8*'Исходные данные'!$C9*CHOOSE('Детальный расчет'!AM$3,'Исходные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расчет'!AM$3,'Детальный расчет'!AM$3&lt;=6),(1+'Исходные данные'!$I9),1)*IF(AND(7&lt;='Детальный расчет'!AM$3,'Детальный расчет'!AM$3&lt;=9),(1+'Исходные данные'!$J9),1)</f>
        <v>290000</v>
      </c>
      <c r="AN14" s="34">
        <f>AN$7*AN$8*'Исходные данные'!$C9*CHOOSE('Детальный расчет'!AN$3,'Исходные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расчет'!AN$3,'Детальный расчет'!AN$3&lt;=6),(1+'Исходные данные'!$I9),1)*IF(AND(7&lt;='Детальный расчет'!AN$3,'Детальный расчет'!AN$3&lt;=9),(1+'Исходные данные'!$J9),1)</f>
        <v>145000</v>
      </c>
      <c r="AO14" s="34">
        <f>AO$7*AO$8*'Исходные данные'!$C9*CHOOSE('Детальный расчет'!AO$3,'Исходные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расчет'!AO$3,'Детальный расчет'!AO$3&lt;=6),(1+'Исходные данные'!$I9),1)*IF(AND(7&lt;='Детальный расчет'!AO$3,'Детальный расчет'!AO$3&lt;=9),(1+'Исходные данные'!$J9),1)</f>
        <v>87000</v>
      </c>
      <c r="AP14" s="34">
        <f>AP$7*AP$8*'Исходные данные'!$C9*CHOOSE('Детальный расчет'!AP$3,'Исходные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данные'!$N20)*IF(AND(4&lt;='Детальный расчет'!AP$3,'Детальный расчет'!AP$3&lt;=6),(1+'Исходные данные'!$I9),1)*IF(AND(7&lt;='Детальный расчет'!AP$3,'Детальный расчет'!AP$3&lt;=9),(1+'Исходные данные'!$J9),1)</f>
        <v>87000</v>
      </c>
      <c r="AQ14" s="122">
        <f t="shared" ref="AQ14:AQ16" si="9">SUM(AE14:AP14)</f>
        <v>3509000</v>
      </c>
      <c r="AR14" s="122">
        <f t="shared" ref="AR14:AR16" si="10">AQ14/12</f>
        <v>292416.66666666669</v>
      </c>
      <c r="AS14" s="129">
        <f t="shared" ref="AS14:AS16" si="11">O14+AC14+AQ14</f>
        <v>10527000</v>
      </c>
      <c r="AT14" s="35"/>
    </row>
    <row r="15" spans="1:46" s="39" customFormat="1" ht="10.5" x14ac:dyDescent="0.35">
      <c r="A15" s="24" t="str">
        <f>'Исходные данные'!A10</f>
        <v>Сотовый поликарбонат (доп.)</v>
      </c>
      <c r="B15" s="25" t="str">
        <f>CHOOSE('Исходные данные'!$R$2,'Исходные данные'!$S$2,'Исходные данные'!$S$3,'Исходные данные'!$S$4,'Исходные данные'!$S$5)</f>
        <v>RUB</v>
      </c>
      <c r="C15" s="37">
        <f>C$7*C$8*'Исходные данные'!$C10*CHOOSE('Детальный расчет'!C$3,'Исходные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расчет'!C$3,'Детальный расчет'!C$3&lt;=6),(1+'Исходные данные'!$I10),1)*IF(AND(7&lt;='Детальный расчет'!C$3,'Детальный расчет'!C$3&lt;=9),(1+'Исходные данные'!$J10),1)</f>
        <v>0</v>
      </c>
      <c r="D15" s="37">
        <f>D$7*D$8*'Исходные данные'!$C10*CHOOSE('Детальный расчет'!D$3,'Исходные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расчет'!D$3,'Детальный расчет'!D$3&lt;=6),(1+'Исходные данные'!$I10),1)*IF(AND(7&lt;='Детальный расчет'!D$3,'Детальный расчет'!D$3&lt;=9),(1+'Исходные данные'!$J10),1)</f>
        <v>0</v>
      </c>
      <c r="E15" s="37">
        <f>E$7*E$8*'Исходные данные'!$C10*CHOOSE('Детальный расчет'!E$3,'Исходные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расчет'!E$3,'Детальный расчет'!E$3&lt;=6),(1+'Исходные данные'!$I10),1)*IF(AND(7&lt;='Детальный расчет'!E$3,'Детальный расчет'!E$3&lt;=9),(1+'Исходные данные'!$J10),1)</f>
        <v>55907.5</v>
      </c>
      <c r="F15" s="37">
        <f>F$7*F$8*'Исходные данные'!$C10*CHOOSE('Детальный расчет'!F$3,'Исходные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расчет'!F$3,'Детальный расчет'!F$3&lt;=6),(1+'Исходные данные'!$I10),1)*IF(AND(7&lt;='Детальный расчет'!F$3,'Детальный расчет'!F$3&lt;=9),(1+'Исходные данные'!$J10),1)</f>
        <v>33544.5</v>
      </c>
      <c r="G15" s="37">
        <f>G$7*G$8*'Исходные данные'!$C10*CHOOSE('Детальный расчет'!G$3,'Исходные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расчет'!G$3,'Детальный расчет'!G$3&lt;=6),(1+'Исходные данные'!$I10),1)*IF(AND(7&lt;='Детальный расчет'!G$3,'Детальный расчет'!G$3&lt;=9),(1+'Исходные данные'!$J10),1)</f>
        <v>44726</v>
      </c>
      <c r="H15" s="37">
        <f>H$7*H$8*'Исходные данные'!$C10*CHOOSE('Детальный расчет'!H$3,'Исходные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расчет'!H$3,'Детальный расчет'!H$3&lt;=6),(1+'Исходные данные'!$I10),1)*IF(AND(7&lt;='Детальный расчет'!H$3,'Детальный расчет'!H$3&lt;=9),(1+'Исходные данные'!$J10),1)</f>
        <v>20900</v>
      </c>
      <c r="I15" s="37">
        <f>I$7*I$8*'Исходные данные'!$C10*CHOOSE('Детальный расчет'!I$3,'Исходные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расчет'!I$3,'Детальный расчет'!I$3&lt;=6),(1+'Исходные данные'!$I10),1)*IF(AND(7&lt;='Детальный расчет'!I$3,'Детальный расчет'!I$3&lt;=9),(1+'Исходные данные'!$J10),1)</f>
        <v>10450</v>
      </c>
      <c r="J15" s="37">
        <f>J$7*J$8*'Исходные данные'!$C10*CHOOSE('Детальный расчет'!J$3,'Исходные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расчет'!J$3,'Детальный расчет'!J$3&lt;=6),(1+'Исходные данные'!$I10),1)*IF(AND(7&lt;='Детальный расчет'!J$3,'Детальный расчет'!J$3&lt;=9),(1+'Исходные данные'!$J10),1)</f>
        <v>31350</v>
      </c>
      <c r="K15" s="37">
        <f>K$7*K$8*'Исходные данные'!$C10*CHOOSE('Детальный расчет'!K$3,'Исходные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расчет'!K$3,'Детальный расчет'!K$3&lt;=6),(1+'Исходные данные'!$I10),1)*IF(AND(7&lt;='Детальный расчет'!K$3,'Детальный расчет'!K$3&lt;=9),(1+'Исходные данные'!$J10),1)</f>
        <v>0</v>
      </c>
      <c r="L15" s="37">
        <f>L$7*L$8*'Исходные данные'!$C10*CHOOSE('Детальный расчет'!L$3,'Исходные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расчет'!L$3,'Детальный расчет'!L$3&lt;=6),(1+'Исходные данные'!$I10),1)*IF(AND(7&lt;='Детальный расчет'!L$3,'Детальный расчет'!L$3&lt;=9),(1+'Исходные данные'!$J10),1)</f>
        <v>0</v>
      </c>
      <c r="M15" s="37">
        <f>M$7*M$8*'Исходные данные'!$C10*CHOOSE('Детальный расчет'!M$3,'Исходные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расчет'!M$3,'Детальный расчет'!M$3&lt;=6),(1+'Исходные данные'!$I10),1)*IF(AND(7&lt;='Детальный расчет'!M$3,'Детальный расчет'!M$3&lt;=9),(1+'Исходные данные'!$J10),1)</f>
        <v>0</v>
      </c>
      <c r="N15" s="37">
        <f>N$7*N$8*'Исходные данные'!$C10*CHOOSE('Детальный расчет'!N$3,'Исходные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расчет'!N$3,'Детальный расчет'!N$3&lt;=6),(1+'Исходные данные'!$I10),1)*IF(AND(7&lt;='Детальный расчет'!N$3,'Детальный расчет'!N$3&lt;=9),(1+'Исходные данные'!$J10),1)</f>
        <v>0</v>
      </c>
      <c r="O15" s="56">
        <f t="shared" si="5"/>
        <v>196878</v>
      </c>
      <c r="P15" s="56">
        <f t="shared" si="6"/>
        <v>16406.5</v>
      </c>
      <c r="Q15" s="37">
        <f>Q$7*Q$8*'Исходные данные'!$C10*CHOOSE('Детальный расчет'!Q$3,'Исходные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расчет'!Q$3,'Детальный расчет'!Q$3&lt;=6),(1+'Исходные данные'!$I10),1)*IF(AND(7&lt;='Детальный расчет'!Q$3,'Детальный расчет'!Q$3&lt;=9),(1+'Исходные данные'!$J10),1)</f>
        <v>0</v>
      </c>
      <c r="R15" s="37">
        <f>R$7*R$8*'Исходные данные'!$C10*CHOOSE('Детальный расчет'!R$3,'Исходные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расчет'!R$3,'Детальный расчет'!R$3&lt;=6),(1+'Исходные данные'!$I10),1)*IF(AND(7&lt;='Детальный расчет'!R$3,'Детальный расчет'!R$3&lt;=9),(1+'Исходные данные'!$J10),1)</f>
        <v>0</v>
      </c>
      <c r="S15" s="37">
        <f>S$7*S$8*'Исходные данные'!$C10*CHOOSE('Детальный расчет'!S$3,'Исходные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расчет'!S$3,'Детальный расчет'!S$3&lt;=6),(1+'Исходные данные'!$I10),1)*IF(AND(7&lt;='Детальный расчет'!S$3,'Детальный расчет'!S$3&lt;=9),(1+'Исходные данные'!$J10),1)</f>
        <v>55907.5</v>
      </c>
      <c r="T15" s="37">
        <f>T$7*T$8*'Исходные данные'!$C10*CHOOSE('Детальный расчет'!T$3,'Исходные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расчет'!T$3,'Детальный расчет'!T$3&lt;=6),(1+'Исходные данные'!$I10),1)*IF(AND(7&lt;='Детальный расчет'!T$3,'Детальный расчет'!T$3&lt;=9),(1+'Исходные данные'!$J10),1)</f>
        <v>33544.5</v>
      </c>
      <c r="U15" s="37">
        <f>U$7*U$8*'Исходные данные'!$C10*CHOOSE('Детальный расчет'!U$3,'Исходные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расчет'!U$3,'Детальный расчет'!U$3&lt;=6),(1+'Исходные данные'!$I10),1)*IF(AND(7&lt;='Детальный расчет'!U$3,'Детальный расчет'!U$3&lt;=9),(1+'Исходные данные'!$J10),1)</f>
        <v>44726</v>
      </c>
      <c r="V15" s="37">
        <f>V$7*V$8*'Исходные данные'!$C10*CHOOSE('Детальный расчет'!V$3,'Исходные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расчет'!V$3,'Детальный расчет'!V$3&lt;=6),(1+'Исходные данные'!$I10),1)*IF(AND(7&lt;='Детальный расчет'!V$3,'Детальный расчет'!V$3&lt;=9),(1+'Исходные данные'!$J10),1)</f>
        <v>20900</v>
      </c>
      <c r="W15" s="37">
        <f>W$7*W$8*'Исходные данные'!$C10*CHOOSE('Детальный расчет'!W$3,'Исходные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расчет'!W$3,'Детальный расчет'!W$3&lt;=6),(1+'Исходные данные'!$I10),1)*IF(AND(7&lt;='Детальный расчет'!W$3,'Детальный расчет'!W$3&lt;=9),(1+'Исходные данные'!$J10),1)</f>
        <v>10450</v>
      </c>
      <c r="X15" s="37">
        <f>X$7*X$8*'Исходные данные'!$C10*CHOOSE('Детальный расчет'!X$3,'Исходные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расчет'!X$3,'Детальный расчет'!X$3&lt;=6),(1+'Исходные данные'!$I10),1)*IF(AND(7&lt;='Детальный расчет'!X$3,'Детальный расчет'!X$3&lt;=9),(1+'Исходные данные'!$J10),1)</f>
        <v>31350</v>
      </c>
      <c r="Y15" s="37">
        <f>Y$7*Y$8*'Исходные данные'!$C10*CHOOSE('Детальный расчет'!Y$3,'Исходные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расчет'!Y$3,'Детальный расчет'!Y$3&lt;=6),(1+'Исходные данные'!$I10),1)*IF(AND(7&lt;='Детальный расчет'!Y$3,'Детальный расчет'!Y$3&lt;=9),(1+'Исходные данные'!$J10),1)</f>
        <v>0</v>
      </c>
      <c r="Z15" s="37">
        <f>Z$7*Z$8*'Исходные данные'!$C10*CHOOSE('Детальный расчет'!Z$3,'Исходные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расчет'!Z$3,'Детальный расчет'!Z$3&lt;=6),(1+'Исходные данные'!$I10),1)*IF(AND(7&lt;='Детальный расчет'!Z$3,'Детальный расчет'!Z$3&lt;=9),(1+'Исходные данные'!$J10),1)</f>
        <v>0</v>
      </c>
      <c r="AA15" s="37">
        <f>AA$7*AA$8*'Исходные данные'!$C10*CHOOSE('Детальный расчет'!AA$3,'Исходные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расчет'!AA$3,'Детальный расчет'!AA$3&lt;=6),(1+'Исходные данные'!$I10),1)*IF(AND(7&lt;='Детальный расчет'!AA$3,'Детальный расчет'!AA$3&lt;=9),(1+'Исходные данные'!$J10),1)</f>
        <v>0</v>
      </c>
      <c r="AB15" s="37">
        <f>AB$7*AB$8*'Исходные данные'!$C10*CHOOSE('Детальный расчет'!AB$3,'Исходные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расчет'!AB$3,'Детальный расчет'!AB$3&lt;=6),(1+'Исходные данные'!$I10),1)*IF(AND(7&lt;='Детальный расчет'!AB$3,'Детальный расчет'!AB$3&lt;=9),(1+'Исходные данные'!$J10),1)</f>
        <v>0</v>
      </c>
      <c r="AC15" s="56">
        <f t="shared" si="7"/>
        <v>196878</v>
      </c>
      <c r="AD15" s="56">
        <f t="shared" si="8"/>
        <v>16406.5</v>
      </c>
      <c r="AE15" s="37">
        <f>AE$7*AE$8*'Исходные данные'!$C10*CHOOSE('Детальный расчет'!AE$3,'Исходные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расчет'!AE$3,'Детальный расчет'!AE$3&lt;=6),(1+'Исходные данные'!$I10),1)*IF(AND(7&lt;='Детальный расчет'!AE$3,'Детальный расчет'!AE$3&lt;=9),(1+'Исходные данные'!$J10),1)</f>
        <v>0</v>
      </c>
      <c r="AF15" s="37">
        <f>AF$7*AF$8*'Исходные данные'!$C10*CHOOSE('Детальный расчет'!AF$3,'Исходные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расчет'!AF$3,'Детальный расчет'!AF$3&lt;=6),(1+'Исходные данные'!$I10),1)*IF(AND(7&lt;='Детальный расчет'!AF$3,'Детальный расчет'!AF$3&lt;=9),(1+'Исходные данные'!$J10),1)</f>
        <v>0</v>
      </c>
      <c r="AG15" s="37">
        <f>AG$7*AG$8*'Исходные данные'!$C10*CHOOSE('Детальный расчет'!AG$3,'Исходные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расчет'!AG$3,'Детальный расчет'!AG$3&lt;=6),(1+'Исходные данные'!$I10),1)*IF(AND(7&lt;='Детальный расчет'!AG$3,'Детальный расчет'!AG$3&lt;=9),(1+'Исходные данные'!$J10),1)</f>
        <v>55907.5</v>
      </c>
      <c r="AH15" s="37">
        <f>AH$7*AH$8*'Исходные данные'!$C10*CHOOSE('Детальный расчет'!AH$3,'Исходные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расчет'!AH$3,'Детальный расчет'!AH$3&lt;=6),(1+'Исходные данные'!$I10),1)*IF(AND(7&lt;='Детальный расчет'!AH$3,'Детальный расчет'!AH$3&lt;=9),(1+'Исходные данные'!$J10),1)</f>
        <v>33544.5</v>
      </c>
      <c r="AI15" s="37">
        <f>AI$7*AI$8*'Исходные данные'!$C10*CHOOSE('Детальный расчет'!AI$3,'Исходные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расчет'!AI$3,'Детальный расчет'!AI$3&lt;=6),(1+'Исходные данные'!$I10),1)*IF(AND(7&lt;='Детальный расчет'!AI$3,'Детальный расчет'!AI$3&lt;=9),(1+'Исходные данные'!$J10),1)</f>
        <v>44726</v>
      </c>
      <c r="AJ15" s="37">
        <f>AJ$7*AJ$8*'Исходные данные'!$C10*CHOOSE('Детальный расчет'!AJ$3,'Исходные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расчет'!AJ$3,'Детальный расчет'!AJ$3&lt;=6),(1+'Исходные данные'!$I10),1)*IF(AND(7&lt;='Детальный расчет'!AJ$3,'Детальный расчет'!AJ$3&lt;=9),(1+'Исходные данные'!$J10),1)</f>
        <v>20900</v>
      </c>
      <c r="AK15" s="37">
        <f>AK$7*AK$8*'Исходные данные'!$C10*CHOOSE('Детальный расчет'!AK$3,'Исходные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расчет'!AK$3,'Детальный расчет'!AK$3&lt;=6),(1+'Исходные данные'!$I10),1)*IF(AND(7&lt;='Детальный расчет'!AK$3,'Детальный расчет'!AK$3&lt;=9),(1+'Исходные данные'!$J10),1)</f>
        <v>10450</v>
      </c>
      <c r="AL15" s="37">
        <f>AL$7*AL$8*'Исходные данные'!$C10*CHOOSE('Детальный расчет'!AL$3,'Исходные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расчет'!AL$3,'Детальный расчет'!AL$3&lt;=6),(1+'Исходные данные'!$I10),1)*IF(AND(7&lt;='Детальный расчет'!AL$3,'Детальный расчет'!AL$3&lt;=9),(1+'Исходные данные'!$J10),1)</f>
        <v>31350</v>
      </c>
      <c r="AM15" s="37">
        <f>AM$7*AM$8*'Исходные данные'!$C10*CHOOSE('Детальный расчет'!AM$3,'Исходные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расчет'!AM$3,'Детальный расчет'!AM$3&lt;=6),(1+'Исходные данные'!$I10),1)*IF(AND(7&lt;='Детальный расчет'!AM$3,'Детальный расчет'!AM$3&lt;=9),(1+'Исходные данные'!$J10),1)</f>
        <v>0</v>
      </c>
      <c r="AN15" s="37">
        <f>AN$7*AN$8*'Исходные данные'!$C10*CHOOSE('Детальный расчет'!AN$3,'Исходные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расчет'!AN$3,'Детальный расчет'!AN$3&lt;=6),(1+'Исходные данные'!$I10),1)*IF(AND(7&lt;='Детальный расчет'!AN$3,'Детальный расчет'!AN$3&lt;=9),(1+'Исходные данные'!$J10),1)</f>
        <v>0</v>
      </c>
      <c r="AO15" s="37">
        <f>AO$7*AO$8*'Исходные данные'!$C10*CHOOSE('Детальный расчет'!AO$3,'Исходные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расчет'!AO$3,'Детальный расчет'!AO$3&lt;=6),(1+'Исходные данные'!$I10),1)*IF(AND(7&lt;='Детальный расчет'!AO$3,'Детальный расчет'!AO$3&lt;=9),(1+'Исходные данные'!$J10),1)</f>
        <v>0</v>
      </c>
      <c r="AP15" s="37">
        <f>AP$7*AP$8*'Исходные данные'!$C10*CHOOSE('Детальный расчет'!AP$3,'Исходные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данные'!$N21)*IF(AND(4&lt;='Детальный расчет'!AP$3,'Детальный расчет'!AP$3&lt;=6),(1+'Исходные данные'!$I10),1)*IF(AND(7&lt;='Детальный расчет'!AP$3,'Детальный расчет'!AP$3&lt;=9),(1+'Исходные данные'!$J10),1)</f>
        <v>0</v>
      </c>
      <c r="AQ15" s="56">
        <f t="shared" si="9"/>
        <v>196878</v>
      </c>
      <c r="AR15" s="56">
        <f t="shared" si="10"/>
        <v>16406.5</v>
      </c>
      <c r="AS15" s="129">
        <f t="shared" si="11"/>
        <v>590634</v>
      </c>
      <c r="AT15" s="38"/>
    </row>
    <row r="16" spans="1:46" s="36" customFormat="1" ht="10.5" x14ac:dyDescent="0.35">
      <c r="A16" s="64" t="str">
        <f>'Исходные данные'!A11</f>
        <v>Доп. оборудование для теплиц</v>
      </c>
      <c r="B16" s="22" t="str">
        <f>CHOOSE('Исходные данные'!$R$2,'Исходные данные'!$S$2,'Исходные данные'!$S$3,'Исходные данные'!$S$4,'Исходные данные'!$S$5)</f>
        <v>RUB</v>
      </c>
      <c r="C16" s="34">
        <f>C$7*C$8*'Исходные данные'!$C11*CHOOSE('Детальный расчет'!C$3,'Исходные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расчет'!C$3,'Детальный расчет'!C$3&lt;=6),(1+'Исходные данные'!$I11),1)*IF(AND(7&lt;='Детальный расчет'!C$3,'Детальный расчет'!C$3&lt;=9),(1+'Исходные данные'!$J11),1)</f>
        <v>0</v>
      </c>
      <c r="D16" s="34">
        <f>D$7*D$8*'Исходные данные'!$C11*CHOOSE('Детальный расчет'!D$3,'Исходные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расчет'!D$3,'Детальный расчет'!D$3&lt;=6),(1+'Исходные данные'!$I11),1)*IF(AND(7&lt;='Детальный расчет'!D$3,'Детальный расчет'!D$3&lt;=9),(1+'Исходные данные'!$J11),1)</f>
        <v>3500</v>
      </c>
      <c r="E16" s="34">
        <f>E$7*E$8*'Исходные данные'!$C11*CHOOSE('Детальный расчет'!E$3,'Исходные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расчет'!E$3,'Детальный расчет'!E$3&lt;=6),(1+'Исходные данные'!$I11),1)*IF(AND(7&lt;='Детальный расчет'!E$3,'Детальный расчет'!E$3&lt;=9),(1+'Исходные данные'!$J11),1)</f>
        <v>17500</v>
      </c>
      <c r="F16" s="34">
        <f>F$7*F$8*'Исходные данные'!$C11*CHOOSE('Детальный расчет'!F$3,'Исходные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расчет'!F$3,'Детальный расчет'!F$3&lt;=6),(1+'Исходные данные'!$I11),1)*IF(AND(7&lt;='Детальный расчет'!F$3,'Детальный расчет'!F$3&lt;=9),(1+'Исходные данные'!$J11),1)</f>
        <v>10500</v>
      </c>
      <c r="G16" s="34">
        <f>G$7*G$8*'Исходные данные'!$C11*CHOOSE('Детальный расчет'!G$3,'Исходные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расчет'!G$3,'Детальный расчет'!G$3&lt;=6),(1+'Исходные данные'!$I11),1)*IF(AND(7&lt;='Детальный расчет'!G$3,'Детальный расчет'!G$3&lt;=9),(1+'Исходные данные'!$J11),1)</f>
        <v>10500</v>
      </c>
      <c r="H16" s="34">
        <f>H$7*H$8*'Исходные данные'!$C11*CHOOSE('Детальный расчет'!H$3,'Исходные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расчет'!H$3,'Детальный расчет'!H$3&lt;=6),(1+'Исходные данные'!$I11),1)*IF(AND(7&lt;='Детальный расчет'!H$3,'Детальный расчет'!H$3&lt;=9),(1+'Исходные данные'!$J11),1)</f>
        <v>3500</v>
      </c>
      <c r="I16" s="34">
        <f>I$7*I$8*'Исходные данные'!$C11*CHOOSE('Детальный расчет'!I$3,'Исходные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расчет'!I$3,'Детальный расчет'!I$3&lt;=6),(1+'Исходные данные'!$I11),1)*IF(AND(7&lt;='Детальный расчет'!I$3,'Детальный расчет'!I$3&lt;=9),(1+'Исходные данные'!$J11),1)</f>
        <v>3500</v>
      </c>
      <c r="J16" s="34">
        <f>J$7*J$8*'Исходные данные'!$C11*CHOOSE('Детальный расчет'!J$3,'Исходные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расчет'!J$3,'Детальный расчет'!J$3&lt;=6),(1+'Исходные данные'!$I11),1)*IF(AND(7&lt;='Детальный расчет'!J$3,'Детальный расчет'!J$3&lt;=9),(1+'Исходные данные'!$J11),1)</f>
        <v>7000</v>
      </c>
      <c r="K16" s="34">
        <f>K$7*K$8*'Исходные данные'!$C11*CHOOSE('Детальный расчет'!K$3,'Исходные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расчет'!K$3,'Детальный расчет'!K$3&lt;=6),(1+'Исходные данные'!$I11),1)*IF(AND(7&lt;='Детальный расчет'!K$3,'Детальный расчет'!K$3&lt;=9),(1+'Исходные данные'!$J11),1)</f>
        <v>3500</v>
      </c>
      <c r="L16" s="34">
        <f>L$7*L$8*'Исходные данные'!$C11*CHOOSE('Детальный расчет'!L$3,'Исходные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расчет'!L$3,'Детальный расчет'!L$3&lt;=6),(1+'Исходные данные'!$I11),1)*IF(AND(7&lt;='Детальный расчет'!L$3,'Детальный расчет'!L$3&lt;=9),(1+'Исходные данные'!$J11),1)</f>
        <v>3500</v>
      </c>
      <c r="M16" s="34">
        <f>M$7*M$8*'Исходные данные'!$C11*CHOOSE('Детальный расчет'!M$3,'Исходные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расчет'!M$3,'Детальный расчет'!M$3&lt;=6),(1+'Исходные данные'!$I11),1)*IF(AND(7&lt;='Детальный расчет'!M$3,'Детальный расчет'!M$3&lt;=9),(1+'Исходные данные'!$J11),1)</f>
        <v>0</v>
      </c>
      <c r="N16" s="34">
        <f>N$7*N$8*'Исходные данные'!$C11*CHOOSE('Детальный расчет'!N$3,'Исходные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расчет'!N$3,'Детальный расчет'!N$3&lt;=6),(1+'Исходные данные'!$I11),1)*IF(AND(7&lt;='Детальный расчет'!N$3,'Детальный расчет'!N$3&lt;=9),(1+'Исходные данные'!$J11),1)</f>
        <v>0</v>
      </c>
      <c r="O16" s="122">
        <f t="shared" si="5"/>
        <v>63000</v>
      </c>
      <c r="P16" s="122">
        <f t="shared" si="6"/>
        <v>5250</v>
      </c>
      <c r="Q16" s="34">
        <f>Q$7*Q$8*'Исходные данные'!$C11*CHOOSE('Детальный расчет'!Q$3,'Исходные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расчет'!Q$3,'Детальный расчет'!Q$3&lt;=6),(1+'Исходные данные'!$I11),1)*IF(AND(7&lt;='Детальный расчет'!Q$3,'Детальный расчет'!Q$3&lt;=9),(1+'Исходные данные'!$J11),1)</f>
        <v>0</v>
      </c>
      <c r="R16" s="34">
        <f>R$7*R$8*'Исходные данные'!$C11*CHOOSE('Детальный расчет'!R$3,'Исходные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расчет'!R$3,'Детальный расчет'!R$3&lt;=6),(1+'Исходные данные'!$I11),1)*IF(AND(7&lt;='Детальный расчет'!R$3,'Детальный расчет'!R$3&lt;=9),(1+'Исходные данные'!$J11),1)</f>
        <v>3500</v>
      </c>
      <c r="S16" s="34">
        <f>S$7*S$8*'Исходные данные'!$C11*CHOOSE('Детальный расчет'!S$3,'Исходные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расчет'!S$3,'Детальный расчет'!S$3&lt;=6),(1+'Исходные данные'!$I11),1)*IF(AND(7&lt;='Детальный расчет'!S$3,'Детальный расчет'!S$3&lt;=9),(1+'Исходные данные'!$J11),1)</f>
        <v>17500</v>
      </c>
      <c r="T16" s="34">
        <f>T$7*T$8*'Исходные данные'!$C11*CHOOSE('Детальный расчет'!T$3,'Исходные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расчет'!T$3,'Детальный расчет'!T$3&lt;=6),(1+'Исходные данные'!$I11),1)*IF(AND(7&lt;='Детальный расчет'!T$3,'Детальный расчет'!T$3&lt;=9),(1+'Исходные данные'!$J11),1)</f>
        <v>10500</v>
      </c>
      <c r="U16" s="34">
        <f>U$7*U$8*'Исходные данные'!$C11*CHOOSE('Детальный расчет'!U$3,'Исходные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расчет'!U$3,'Детальный расчет'!U$3&lt;=6),(1+'Исходные данные'!$I11),1)*IF(AND(7&lt;='Детальный расчет'!U$3,'Детальный расчет'!U$3&lt;=9),(1+'Исходные данные'!$J11),1)</f>
        <v>10500</v>
      </c>
      <c r="V16" s="34">
        <f>V$7*V$8*'Исходные данные'!$C11*CHOOSE('Детальный расчет'!V$3,'Исходные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расчет'!V$3,'Детальный расчет'!V$3&lt;=6),(1+'Исходные данные'!$I11),1)*IF(AND(7&lt;='Детальный расчет'!V$3,'Детальный расчет'!V$3&lt;=9),(1+'Исходные данные'!$J11),1)</f>
        <v>3500</v>
      </c>
      <c r="W16" s="34">
        <f>W$7*W$8*'Исходные данные'!$C11*CHOOSE('Детальный расчет'!W$3,'Исходные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расчет'!W$3,'Детальный расчет'!W$3&lt;=6),(1+'Исходные данные'!$I11),1)*IF(AND(7&lt;='Детальный расчет'!W$3,'Детальный расчет'!W$3&lt;=9),(1+'Исходные данные'!$J11),1)</f>
        <v>3500</v>
      </c>
      <c r="X16" s="34">
        <f>X$7*X$8*'Исходные данные'!$C11*CHOOSE('Детальный расчет'!X$3,'Исходные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расчет'!X$3,'Детальный расчет'!X$3&lt;=6),(1+'Исходные данные'!$I11),1)*IF(AND(7&lt;='Детальный расчет'!X$3,'Детальный расчет'!X$3&lt;=9),(1+'Исходные данные'!$J11),1)</f>
        <v>7000</v>
      </c>
      <c r="Y16" s="34">
        <f>Y$7*Y$8*'Исходные данные'!$C11*CHOOSE('Детальный расчет'!Y$3,'Исходные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расчет'!Y$3,'Детальный расчет'!Y$3&lt;=6),(1+'Исходные данные'!$I11),1)*IF(AND(7&lt;='Детальный расчет'!Y$3,'Детальный расчет'!Y$3&lt;=9),(1+'Исходные данные'!$J11),1)</f>
        <v>3500</v>
      </c>
      <c r="Z16" s="34">
        <f>Z$7*Z$8*'Исходные данные'!$C11*CHOOSE('Детальный расчет'!Z$3,'Исходные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расчет'!Z$3,'Детальный расчет'!Z$3&lt;=6),(1+'Исходные данные'!$I11),1)*IF(AND(7&lt;='Детальный расчет'!Z$3,'Детальный расчет'!Z$3&lt;=9),(1+'Исходные данные'!$J11),1)</f>
        <v>3500</v>
      </c>
      <c r="AA16" s="34">
        <f>AA$7*AA$8*'Исходные данные'!$C11*CHOOSE('Детальный расчет'!AA$3,'Исходные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расчет'!AA$3,'Детальный расчет'!AA$3&lt;=6),(1+'Исходные данные'!$I11),1)*IF(AND(7&lt;='Детальный расчет'!AA$3,'Детальный расчет'!AA$3&lt;=9),(1+'Исходные данные'!$J11),1)</f>
        <v>0</v>
      </c>
      <c r="AB16" s="34">
        <f>AB$7*AB$8*'Исходные данные'!$C11*CHOOSE('Детальный расчет'!AB$3,'Исходные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расчет'!AB$3,'Детальный расчет'!AB$3&lt;=6),(1+'Исходные данные'!$I11),1)*IF(AND(7&lt;='Детальный расчет'!AB$3,'Детальный расчет'!AB$3&lt;=9),(1+'Исходные данные'!$J11),1)</f>
        <v>0</v>
      </c>
      <c r="AC16" s="122">
        <f t="shared" si="7"/>
        <v>63000</v>
      </c>
      <c r="AD16" s="122">
        <f t="shared" si="8"/>
        <v>5250</v>
      </c>
      <c r="AE16" s="34">
        <f>AE$7*AE$8*'Исходные данные'!$C11*CHOOSE('Детальный расчет'!AE$3,'Исходные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расчет'!AE$3,'Детальный расчет'!AE$3&lt;=6),(1+'Исходные данные'!$I11),1)*IF(AND(7&lt;='Детальный расчет'!AE$3,'Детальный расчет'!AE$3&lt;=9),(1+'Исходные данные'!$J11),1)</f>
        <v>0</v>
      </c>
      <c r="AF16" s="34">
        <f>AF$7*AF$8*'Исходные данные'!$C11*CHOOSE('Детальный расчет'!AF$3,'Исходные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расчет'!AF$3,'Детальный расчет'!AF$3&lt;=6),(1+'Исходные данные'!$I11),1)*IF(AND(7&lt;='Детальный расчет'!AF$3,'Детальный расчет'!AF$3&lt;=9),(1+'Исходные данные'!$J11),1)</f>
        <v>3500</v>
      </c>
      <c r="AG16" s="34">
        <f>AG$7*AG$8*'Исходные данные'!$C11*CHOOSE('Детальный расчет'!AG$3,'Исходные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расчет'!AG$3,'Детальный расчет'!AG$3&lt;=6),(1+'Исходные данные'!$I11),1)*IF(AND(7&lt;='Детальный расчет'!AG$3,'Детальный расчет'!AG$3&lt;=9),(1+'Исходные данные'!$J11),1)</f>
        <v>17500</v>
      </c>
      <c r="AH16" s="34">
        <f>AH$7*AH$8*'Исходные данные'!$C11*CHOOSE('Детальный расчет'!AH$3,'Исходные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расчет'!AH$3,'Детальный расчет'!AH$3&lt;=6),(1+'Исходные данные'!$I11),1)*IF(AND(7&lt;='Детальный расчет'!AH$3,'Детальный расчет'!AH$3&lt;=9),(1+'Исходные данные'!$J11),1)</f>
        <v>10500</v>
      </c>
      <c r="AI16" s="34">
        <f>AI$7*AI$8*'Исходные данные'!$C11*CHOOSE('Детальный расчет'!AI$3,'Исходные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расчет'!AI$3,'Детальный расчет'!AI$3&lt;=6),(1+'Исходные данные'!$I11),1)*IF(AND(7&lt;='Детальный расчет'!AI$3,'Детальный расчет'!AI$3&lt;=9),(1+'Исходные данные'!$J11),1)</f>
        <v>10500</v>
      </c>
      <c r="AJ16" s="34">
        <f>AJ$7*AJ$8*'Исходные данные'!$C11*CHOOSE('Детальный расчет'!AJ$3,'Исходные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расчет'!AJ$3,'Детальный расчет'!AJ$3&lt;=6),(1+'Исходные данные'!$I11),1)*IF(AND(7&lt;='Детальный расчет'!AJ$3,'Детальный расчет'!AJ$3&lt;=9),(1+'Исходные данные'!$J11),1)</f>
        <v>3500</v>
      </c>
      <c r="AK16" s="34">
        <f>AK$7*AK$8*'Исходные данные'!$C11*CHOOSE('Детальный расчет'!AK$3,'Исходные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расчет'!AK$3,'Детальный расчет'!AK$3&lt;=6),(1+'Исходные данные'!$I11),1)*IF(AND(7&lt;='Детальный расчет'!AK$3,'Детальный расчет'!AK$3&lt;=9),(1+'Исходные данные'!$J11),1)</f>
        <v>3500</v>
      </c>
      <c r="AL16" s="34">
        <f>AL$7*AL$8*'Исходные данные'!$C11*CHOOSE('Детальный расчет'!AL$3,'Исходные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расчет'!AL$3,'Детальный расчет'!AL$3&lt;=6),(1+'Исходные данные'!$I11),1)*IF(AND(7&lt;='Детальный расчет'!AL$3,'Детальный расчет'!AL$3&lt;=9),(1+'Исходные данные'!$J11),1)</f>
        <v>7000</v>
      </c>
      <c r="AM16" s="34">
        <f>AM$7*AM$8*'Исходные данные'!$C11*CHOOSE('Детальный расчет'!AM$3,'Исходные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расчет'!AM$3,'Детальный расчет'!AM$3&lt;=6),(1+'Исходные данные'!$I11),1)*IF(AND(7&lt;='Детальный расчет'!AM$3,'Детальный расчет'!AM$3&lt;=9),(1+'Исходные данные'!$J11),1)</f>
        <v>3500</v>
      </c>
      <c r="AN16" s="34">
        <f>AN$7*AN$8*'Исходные данные'!$C11*CHOOSE('Детальный расчет'!AN$3,'Исходные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расчет'!AN$3,'Детальный расчет'!AN$3&lt;=6),(1+'Исходные данные'!$I11),1)*IF(AND(7&lt;='Детальный расчет'!AN$3,'Детальный расчет'!AN$3&lt;=9),(1+'Исходные данные'!$J11),1)</f>
        <v>3500</v>
      </c>
      <c r="AO16" s="34">
        <f>AO$7*AO$8*'Исходные данные'!$C11*CHOOSE('Детальный расчет'!AO$3,'Исходные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расчет'!AO$3,'Детальный расчет'!AO$3&lt;=6),(1+'Исходные данные'!$I11),1)*IF(AND(7&lt;='Детальный расчет'!AO$3,'Детальный расчет'!AO$3&lt;=9),(1+'Исходные данные'!$J11),1)</f>
        <v>0</v>
      </c>
      <c r="AP16" s="34">
        <f>AP$7*AP$8*'Исходные данные'!$C11*CHOOSE('Детальный расчет'!AP$3,'Исходные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данные'!$N22)*IF(AND(4&lt;='Детальный расчет'!AP$3,'Детальный расчет'!AP$3&lt;=6),(1+'Исходные данные'!$I11),1)*IF(AND(7&lt;='Детальный расчет'!AP$3,'Детальный расчет'!AP$3&lt;=9),(1+'Исходные данные'!$J11),1)</f>
        <v>0</v>
      </c>
      <c r="AQ16" s="122">
        <f t="shared" si="9"/>
        <v>63000</v>
      </c>
      <c r="AR16" s="122">
        <f t="shared" si="10"/>
        <v>5250</v>
      </c>
      <c r="AS16" s="129">
        <f t="shared" si="11"/>
        <v>189000</v>
      </c>
      <c r="AT16" s="35"/>
    </row>
    <row r="17" spans="1:46" s="39" customFormat="1" ht="10.5" x14ac:dyDescent="0.35">
      <c r="A17" s="24" t="str">
        <f>'Исходные данные'!A12</f>
        <v>Монтаж</v>
      </c>
      <c r="B17" s="25" t="str">
        <f>CHOOSE('Исходные данные'!$R$2,'Исходные данные'!$S$2,'Исходные данные'!$S$3,'Исходные данные'!$S$4,'Исходные данные'!$S$5)</f>
        <v>RUB</v>
      </c>
      <c r="C17" s="37">
        <f>C$7*C$8*'Исходные данные'!$C12*CHOOSE('Детальный расчет'!C$3,'Исходные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расчет'!C$3,'Детальный расчет'!C$3&lt;=6),(1+'Исходные данные'!$I12),1)*IF(AND(7&lt;='Детальный расчет'!C$3,'Детальный расчет'!C$3&lt;=9),(1+'Исходные данные'!$J12),1)</f>
        <v>0</v>
      </c>
      <c r="D17" s="37">
        <f>D$7*D$8*'Исходные данные'!$C12*CHOOSE('Детальный расчет'!D$3,'Исходные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расчет'!D$3,'Детальный расчет'!D$3&lt;=6),(1+'Исходные данные'!$I12),1)*IF(AND(7&lt;='Детальный расчет'!D$3,'Детальный расчет'!D$3&lt;=9),(1+'Исходные данные'!$J12),1)</f>
        <v>0</v>
      </c>
      <c r="E17" s="37">
        <f>E$7*E$8*'Исходные данные'!$C12*CHOOSE('Детальный расчет'!E$3,'Исходные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расчет'!E$3,'Детальный расчет'!E$3&lt;=6),(1+'Исходные данные'!$I12),1)*IF(AND(7&lt;='Детальный расчет'!E$3,'Детальный расчет'!E$3&lt;=9),(1+'Исходные данные'!$J12),1)</f>
        <v>87000</v>
      </c>
      <c r="F17" s="37">
        <f>F$7*F$8*'Исходные данные'!$C12*CHOOSE('Детальный расчет'!F$3,'Исходные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расчет'!F$3,'Детальный расчет'!F$3&lt;=6),(1+'Исходные данные'!$I12),1)*IF(AND(7&lt;='Детальный расчет'!F$3,'Детальный расчет'!F$3&lt;=9),(1+'Исходные данные'!$J12),1)</f>
        <v>87000</v>
      </c>
      <c r="G17" s="37">
        <f>G$7*G$8*'Исходные данные'!$C12*CHOOSE('Детальный расчет'!G$3,'Исходные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расчет'!G$3,'Детальный расчет'!G$3&lt;=6),(1+'Исходные данные'!$I12),1)*IF(AND(7&lt;='Детальный расчет'!G$3,'Детальный расчет'!G$3&lt;=9),(1+'Исходные данные'!$J12),1)</f>
        <v>58000</v>
      </c>
      <c r="H17" s="37">
        <f>H$7*H$8*'Исходные данные'!$C12*CHOOSE('Детальный расчет'!H$3,'Исходные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расчет'!H$3,'Детальный расчет'!H$3&lt;=6),(1+'Исходные данные'!$I12),1)*IF(AND(7&lt;='Детальный расчет'!H$3,'Детальный расчет'!H$3&lt;=9),(1+'Исходные данные'!$J12),1)</f>
        <v>23200</v>
      </c>
      <c r="I17" s="37">
        <f>I$7*I$8*'Исходные данные'!$C12*CHOOSE('Детальный расчет'!I$3,'Исходные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расчет'!I$3,'Детальный расчет'!I$3&lt;=6),(1+'Исходные данные'!$I12),1)*IF(AND(7&lt;='Детальный расчет'!I$3,'Детальный расчет'!I$3&lt;=9),(1+'Исходные данные'!$J12),1)</f>
        <v>23200</v>
      </c>
      <c r="J17" s="37">
        <f>J$7*J$8*'Исходные данные'!$C12*CHOOSE('Детальный расчет'!J$3,'Исходные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расчет'!J$3,'Детальный расчет'!J$3&lt;=6),(1+'Исходные данные'!$I12),1)*IF(AND(7&lt;='Детальный расчет'!J$3,'Детальный расчет'!J$3&lt;=9),(1+'Исходные данные'!$J12),1)</f>
        <v>58000</v>
      </c>
      <c r="K17" s="37">
        <f>K$7*K$8*'Исходные данные'!$C12*CHOOSE('Детальный расчет'!K$3,'Исходные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расчет'!K$3,'Детальный расчет'!K$3&lt;=6),(1+'Исходные данные'!$I12),1)*IF(AND(7&lt;='Детальный расчет'!K$3,'Детальный расчет'!K$3&lt;=9),(1+'Исходные данные'!$J12),1)</f>
        <v>29000</v>
      </c>
      <c r="L17" s="37">
        <f>L$7*L$8*'Исходные данные'!$C12*CHOOSE('Детальный расчет'!L$3,'Исходные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расчет'!L$3,'Детальный расчет'!L$3&lt;=6),(1+'Исходные данные'!$I12),1)*IF(AND(7&lt;='Детальный расчет'!L$3,'Детальный расчет'!L$3&lt;=9),(1+'Исходные данные'!$J12),1)</f>
        <v>0</v>
      </c>
      <c r="M17" s="37">
        <f>M$7*M$8*'Исходные данные'!$C12*CHOOSE('Детальный расчет'!M$3,'Исходные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расчет'!M$3,'Детальный расчет'!M$3&lt;=6),(1+'Исходные данные'!$I12),1)*IF(AND(7&lt;='Детальный расчет'!M$3,'Детальный расчет'!M$3&lt;=9),(1+'Исходные данные'!$J12),1)</f>
        <v>0</v>
      </c>
      <c r="N17" s="37">
        <f>N$7*N$8*'Исходные данные'!$C12*CHOOSE('Детальный расчет'!N$3,'Исходные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расчет'!N$3,'Детальный расчет'!N$3&lt;=6),(1+'Исходные данные'!$I12),1)*IF(AND(7&lt;='Детальный расчет'!N$3,'Детальный расчет'!N$3&lt;=9),(1+'Исходные данные'!$J12),1)</f>
        <v>0</v>
      </c>
      <c r="O17" s="56">
        <f t="shared" ref="O17:O19" si="12">SUM(C17:N17)</f>
        <v>365400</v>
      </c>
      <c r="P17" s="56">
        <f t="shared" ref="P17:P19" si="13">O17/12</f>
        <v>30450</v>
      </c>
      <c r="Q17" s="37">
        <f>Q$7*Q$8*'Исходные данные'!$C12*CHOOSE('Детальный расчет'!Q$3,'Исходные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расчет'!Q$3,'Детальный расчет'!Q$3&lt;=6),(1+'Исходные данные'!$I12),1)*IF(AND(7&lt;='Детальный расчет'!Q$3,'Детальный расчет'!Q$3&lt;=9),(1+'Исходные данные'!$J12),1)</f>
        <v>0</v>
      </c>
      <c r="R17" s="37">
        <f>R$7*R$8*'Исходные данные'!$C12*CHOOSE('Детальный расчет'!R$3,'Исходные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расчет'!R$3,'Детальный расчет'!R$3&lt;=6),(1+'Исходные данные'!$I12),1)*IF(AND(7&lt;='Детальный расчет'!R$3,'Детальный расчет'!R$3&lt;=9),(1+'Исходные данные'!$J12),1)</f>
        <v>0</v>
      </c>
      <c r="S17" s="37">
        <f>S$7*S$8*'Исходные данные'!$C12*CHOOSE('Детальный расчет'!S$3,'Исходные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расчет'!S$3,'Детальный расчет'!S$3&lt;=6),(1+'Исходные данные'!$I12),1)*IF(AND(7&lt;='Детальный расчет'!S$3,'Детальный расчет'!S$3&lt;=9),(1+'Исходные данные'!$J12),1)</f>
        <v>87000</v>
      </c>
      <c r="T17" s="37">
        <f>T$7*T$8*'Исходные данные'!$C12*CHOOSE('Детальный расчет'!T$3,'Исходные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расчет'!T$3,'Детальный расчет'!T$3&lt;=6),(1+'Исходные данные'!$I12),1)*IF(AND(7&lt;='Детальный расчет'!T$3,'Детальный расчет'!T$3&lt;=9),(1+'Исходные данные'!$J12),1)</f>
        <v>87000</v>
      </c>
      <c r="U17" s="37">
        <f>U$7*U$8*'Исходные данные'!$C12*CHOOSE('Детальный расчет'!U$3,'Исходные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расчет'!U$3,'Детальный расчет'!U$3&lt;=6),(1+'Исходные данные'!$I12),1)*IF(AND(7&lt;='Детальный расчет'!U$3,'Детальный расчет'!U$3&lt;=9),(1+'Исходные данные'!$J12),1)</f>
        <v>58000</v>
      </c>
      <c r="V17" s="37">
        <f>V$7*V$8*'Исходные данные'!$C12*CHOOSE('Детальный расчет'!V$3,'Исходные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расчет'!V$3,'Детальный расчет'!V$3&lt;=6),(1+'Исходные данные'!$I12),1)*IF(AND(7&lt;='Детальный расчет'!V$3,'Детальный расчет'!V$3&lt;=9),(1+'Исходные данные'!$J12),1)</f>
        <v>23200</v>
      </c>
      <c r="W17" s="37">
        <f>W$7*W$8*'Исходные данные'!$C12*CHOOSE('Детальный расчет'!W$3,'Исходные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расчет'!W$3,'Детальный расчет'!W$3&lt;=6),(1+'Исходные данные'!$I12),1)*IF(AND(7&lt;='Детальный расчет'!W$3,'Детальный расчет'!W$3&lt;=9),(1+'Исходные данные'!$J12),1)</f>
        <v>23200</v>
      </c>
      <c r="X17" s="37">
        <f>X$7*X$8*'Исходные данные'!$C12*CHOOSE('Детальный расчет'!X$3,'Исходные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расчет'!X$3,'Детальный расчет'!X$3&lt;=6),(1+'Исходные данные'!$I12),1)*IF(AND(7&lt;='Детальный расчет'!X$3,'Детальный расчет'!X$3&lt;=9),(1+'Исходные данные'!$J12),1)</f>
        <v>58000</v>
      </c>
      <c r="Y17" s="37">
        <f>Y$7*Y$8*'Исходные данные'!$C12*CHOOSE('Детальный расчет'!Y$3,'Исходные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расчет'!Y$3,'Детальный расчет'!Y$3&lt;=6),(1+'Исходные данные'!$I12),1)*IF(AND(7&lt;='Детальный расчет'!Y$3,'Детальный расчет'!Y$3&lt;=9),(1+'Исходные данные'!$J12),1)</f>
        <v>29000</v>
      </c>
      <c r="Z17" s="37">
        <f>Z$7*Z$8*'Исходные данные'!$C12*CHOOSE('Детальный расчет'!Z$3,'Исходные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расчет'!Z$3,'Детальный расчет'!Z$3&lt;=6),(1+'Исходные данные'!$I12),1)*IF(AND(7&lt;='Детальный расчет'!Z$3,'Детальный расчет'!Z$3&lt;=9),(1+'Исходные данные'!$J12),1)</f>
        <v>0</v>
      </c>
      <c r="AA17" s="37">
        <f>AA$7*AA$8*'Исходные данные'!$C12*CHOOSE('Детальный расчет'!AA$3,'Исходные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расчет'!AA$3,'Детальный расчет'!AA$3&lt;=6),(1+'Исходные данные'!$I12),1)*IF(AND(7&lt;='Детальный расчет'!AA$3,'Детальный расчет'!AA$3&lt;=9),(1+'Исходные данные'!$J12),1)</f>
        <v>0</v>
      </c>
      <c r="AB17" s="37">
        <f>AB$7*AB$8*'Исходные данные'!$C12*CHOOSE('Детальный расчет'!AB$3,'Исходные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расчет'!AB$3,'Детальный расчет'!AB$3&lt;=6),(1+'Исходные данные'!$I12),1)*IF(AND(7&lt;='Детальный расчет'!AB$3,'Детальный расчет'!AB$3&lt;=9),(1+'Исходные данные'!$J12),1)</f>
        <v>0</v>
      </c>
      <c r="AC17" s="56">
        <f t="shared" ref="AC17:AC19" si="14">SUM(Q17:AB17)</f>
        <v>365400</v>
      </c>
      <c r="AD17" s="56">
        <f t="shared" ref="AD17:AD19" si="15">AC17/12</f>
        <v>30450</v>
      </c>
      <c r="AE17" s="37">
        <f>AE$7*AE$8*'Исходные данные'!$C12*CHOOSE('Детальный расчет'!AE$3,'Исходные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расчет'!AE$3,'Детальный расчет'!AE$3&lt;=6),(1+'Исходные данные'!$I12),1)*IF(AND(7&lt;='Детальный расчет'!AE$3,'Детальный расчет'!AE$3&lt;=9),(1+'Исходные данные'!$J12),1)</f>
        <v>0</v>
      </c>
      <c r="AF17" s="37">
        <f>AF$7*AF$8*'Исходные данные'!$C12*CHOOSE('Детальный расчет'!AF$3,'Исходные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расчет'!AF$3,'Детальный расчет'!AF$3&lt;=6),(1+'Исходные данные'!$I12),1)*IF(AND(7&lt;='Детальный расчет'!AF$3,'Детальный расчет'!AF$3&lt;=9),(1+'Исходные данные'!$J12),1)</f>
        <v>0</v>
      </c>
      <c r="AG17" s="37">
        <f>AG$7*AG$8*'Исходные данные'!$C12*CHOOSE('Детальный расчет'!AG$3,'Исходные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расчет'!AG$3,'Детальный расчет'!AG$3&lt;=6),(1+'Исходные данные'!$I12),1)*IF(AND(7&lt;='Детальный расчет'!AG$3,'Детальный расчет'!AG$3&lt;=9),(1+'Исходные данные'!$J12),1)</f>
        <v>87000</v>
      </c>
      <c r="AH17" s="37">
        <f>AH$7*AH$8*'Исходные данные'!$C12*CHOOSE('Детальный расчет'!AH$3,'Исходные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расчет'!AH$3,'Детальный расчет'!AH$3&lt;=6),(1+'Исходные данные'!$I12),1)*IF(AND(7&lt;='Детальный расчет'!AH$3,'Детальный расчет'!AH$3&lt;=9),(1+'Исходные данные'!$J12),1)</f>
        <v>87000</v>
      </c>
      <c r="AI17" s="37">
        <f>AI$7*AI$8*'Исходные данные'!$C12*CHOOSE('Детальный расчет'!AI$3,'Исходные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расчет'!AI$3,'Детальный расчет'!AI$3&lt;=6),(1+'Исходные данные'!$I12),1)*IF(AND(7&lt;='Детальный расчет'!AI$3,'Детальный расчет'!AI$3&lt;=9),(1+'Исходные данные'!$J12),1)</f>
        <v>58000</v>
      </c>
      <c r="AJ17" s="37">
        <f>AJ$7*AJ$8*'Исходные данные'!$C12*CHOOSE('Детальный расчет'!AJ$3,'Исходные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расчет'!AJ$3,'Детальный расчет'!AJ$3&lt;=6),(1+'Исходные данные'!$I12),1)*IF(AND(7&lt;='Детальный расчет'!AJ$3,'Детальный расчет'!AJ$3&lt;=9),(1+'Исходные данные'!$J12),1)</f>
        <v>23200</v>
      </c>
      <c r="AK17" s="37">
        <f>AK$7*AK$8*'Исходные данные'!$C12*CHOOSE('Детальный расчет'!AK$3,'Исходные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расчет'!AK$3,'Детальный расчет'!AK$3&lt;=6),(1+'Исходные данные'!$I12),1)*IF(AND(7&lt;='Детальный расчет'!AK$3,'Детальный расчет'!AK$3&lt;=9),(1+'Исходные данные'!$J12),1)</f>
        <v>23200</v>
      </c>
      <c r="AL17" s="37">
        <f>AL$7*AL$8*'Исходные данные'!$C12*CHOOSE('Детальный расчет'!AL$3,'Исходные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расчет'!AL$3,'Детальный расчет'!AL$3&lt;=6),(1+'Исходные данные'!$I12),1)*IF(AND(7&lt;='Детальный расчет'!AL$3,'Детальный расчет'!AL$3&lt;=9),(1+'Исходные данные'!$J12),1)</f>
        <v>58000</v>
      </c>
      <c r="AM17" s="37">
        <f>AM$7*AM$8*'Исходные данные'!$C12*CHOOSE('Детальный расчет'!AM$3,'Исходные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расчет'!AM$3,'Детальный расчет'!AM$3&lt;=6),(1+'Исходные данные'!$I12),1)*IF(AND(7&lt;='Детальный расчет'!AM$3,'Детальный расчет'!AM$3&lt;=9),(1+'Исходные данные'!$J12),1)</f>
        <v>29000</v>
      </c>
      <c r="AN17" s="37">
        <f>AN$7*AN$8*'Исходные данные'!$C12*CHOOSE('Детальный расчет'!AN$3,'Исходные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расчет'!AN$3,'Детальный расчет'!AN$3&lt;=6),(1+'Исходные данные'!$I12),1)*IF(AND(7&lt;='Детальный расчет'!AN$3,'Детальный расчет'!AN$3&lt;=9),(1+'Исходные данные'!$J12),1)</f>
        <v>0</v>
      </c>
      <c r="AO17" s="37">
        <f>AO$7*AO$8*'Исходные данные'!$C12*CHOOSE('Детальный расчет'!AO$3,'Исходные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расчет'!AO$3,'Детальный расчет'!AO$3&lt;=6),(1+'Исходные данные'!$I12),1)*IF(AND(7&lt;='Детальный расчет'!AO$3,'Детальный расчет'!AO$3&lt;=9),(1+'Исходные данные'!$J12),1)</f>
        <v>0</v>
      </c>
      <c r="AP17" s="37">
        <f>AP$7*AP$8*'Исходные данные'!$C12*CHOOSE('Детальный расчет'!AP$3,'Исходные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данные'!$N23)*IF(AND(4&lt;='Детальный расчет'!AP$3,'Детальный расчет'!AP$3&lt;=6),(1+'Исходные данные'!$I12),1)*IF(AND(7&lt;='Детальный расчет'!AP$3,'Детальный расчет'!AP$3&lt;=9),(1+'Исходные данные'!$J12),1)</f>
        <v>0</v>
      </c>
      <c r="AQ17" s="56">
        <f t="shared" ref="AQ17:AQ19" si="16">SUM(AE17:AP17)</f>
        <v>365400</v>
      </c>
      <c r="AR17" s="56">
        <f t="shared" ref="AR17:AR19" si="17">AQ17/12</f>
        <v>30450</v>
      </c>
      <c r="AS17" s="129">
        <f t="shared" ref="AS17:AS19" si="18">O17+AC17+AQ17</f>
        <v>1096200</v>
      </c>
      <c r="AT17" s="38"/>
    </row>
    <row r="18" spans="1:46" s="36" customFormat="1" ht="10.5" x14ac:dyDescent="0.35">
      <c r="A18" s="64" t="str">
        <f>'Исходные данные'!A13</f>
        <v>Гроутенты</v>
      </c>
      <c r="B18" s="22" t="str">
        <f>CHOOSE('Исходные данные'!$R$2,'Исходные данные'!$S$2,'Исходные данные'!$S$3,'Исходные данные'!$S$4,'Исходные данные'!$S$5)</f>
        <v>RUB</v>
      </c>
      <c r="C18" s="34">
        <f>C$7*C$8*'Исходные данные'!$C13*CHOOSE('Детальный расчет'!C$3,'Исходные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расчет'!C$3,'Детальный расчет'!C$3&lt;=6),(1+'Исходные данные'!$I13),1)*IF(AND(7&lt;='Детальный расчет'!C$3,'Детальный расчет'!C$3&lt;=9),(1+'Исходные данные'!$J13),1)</f>
        <v>0</v>
      </c>
      <c r="D18" s="34">
        <f>D$7*D$8*'Исходные данные'!$C13*CHOOSE('Детальный расчет'!D$3,'Исходные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расчет'!D$3,'Детальный расчет'!D$3&lt;=6),(1+'Исходные данные'!$I13),1)*IF(AND(7&lt;='Детальный расчет'!D$3,'Детальный расчет'!D$3&lt;=9),(1+'Исходные данные'!$J13),1)</f>
        <v>0</v>
      </c>
      <c r="E18" s="34">
        <f>E$7*E$8*'Исходные данные'!$C13*CHOOSE('Детальный расчет'!E$3,'Исходные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расчет'!E$3,'Детальный расчет'!E$3&lt;=6),(1+'Исходные данные'!$I13),1)*IF(AND(7&lt;='Детальный расчет'!E$3,'Детальный расчет'!E$3&lt;=9),(1+'Исходные данные'!$J13),1)</f>
        <v>0</v>
      </c>
      <c r="F18" s="34">
        <f>F$7*F$8*'Исходные данные'!$C13*CHOOSE('Детальный расчет'!F$3,'Исходные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расчет'!F$3,'Детальный расчет'!F$3&lt;=6),(1+'Исходные данные'!$I13),1)*IF(AND(7&lt;='Детальный расчет'!F$3,'Детальный расчет'!F$3&lt;=9),(1+'Исходные данные'!$J13),1)</f>
        <v>0</v>
      </c>
      <c r="G18" s="34">
        <f>G$7*G$8*'Исходные данные'!$C13*CHOOSE('Детальный расчет'!G$3,'Исходные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расчет'!G$3,'Детальный расчет'!G$3&lt;=6),(1+'Исходные данные'!$I13),1)*IF(AND(7&lt;='Детальный расчет'!G$3,'Детальный расчет'!G$3&lt;=9),(1+'Исходные данные'!$J13),1)</f>
        <v>0</v>
      </c>
      <c r="H18" s="34">
        <f>H$7*H$8*'Исходные данные'!$C13*CHOOSE('Детальный расчет'!H$3,'Исходные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расчет'!H$3,'Детальный расчет'!H$3&lt;=6),(1+'Исходные данные'!$I13),1)*IF(AND(7&lt;='Детальный расчет'!H$3,'Детальный расчет'!H$3&lt;=9),(1+'Исходные данные'!$J13),1)</f>
        <v>0</v>
      </c>
      <c r="I18" s="34">
        <f>I$7*I$8*'Исходные данные'!$C13*CHOOSE('Детальный расчет'!I$3,'Исходные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расчет'!I$3,'Детальный расчет'!I$3&lt;=6),(1+'Исходные данные'!$I13),1)*IF(AND(7&lt;='Детальный расчет'!I$3,'Детальный расчет'!I$3&lt;=9),(1+'Исходные данные'!$J13),1)</f>
        <v>0</v>
      </c>
      <c r="J18" s="34">
        <f>J$7*J$8*'Исходные данные'!$C13*CHOOSE('Детальный расчет'!J$3,'Исходные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расчет'!J$3,'Детальный расчет'!J$3&lt;=6),(1+'Исходные данные'!$I13),1)*IF(AND(7&lt;='Детальный расчет'!J$3,'Детальный расчет'!J$3&lt;=9),(1+'Исходные данные'!$J13),1)</f>
        <v>0</v>
      </c>
      <c r="K18" s="34">
        <f>K$7*K$8*'Исходные данные'!$C13*CHOOSE('Детальный расчет'!K$3,'Исходные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расчет'!K$3,'Детальный расчет'!K$3&lt;=6),(1+'Исходные данные'!$I13),1)*IF(AND(7&lt;='Детальный расчет'!K$3,'Детальный расчет'!K$3&lt;=9),(1+'Исходные данные'!$J13),1)</f>
        <v>0</v>
      </c>
      <c r="L18" s="34">
        <f>L$7*L$8*'Исходные данные'!$C13*CHOOSE('Детальный расчет'!L$3,'Исходные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расчет'!L$3,'Детальный расчет'!L$3&lt;=6),(1+'Исходные данные'!$I13),1)*IF(AND(7&lt;='Детальный расчет'!L$3,'Детальный расчет'!L$3&lt;=9),(1+'Исходные данные'!$J13),1)</f>
        <v>0</v>
      </c>
      <c r="M18" s="34">
        <f>M$7*M$8*'Исходные данные'!$C13*CHOOSE('Детальный расчет'!M$3,'Исходные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расчет'!M$3,'Детальный расчет'!M$3&lt;=6),(1+'Исходные данные'!$I13),1)*IF(AND(7&lt;='Детальный расчет'!M$3,'Детальный расчет'!M$3&lt;=9),(1+'Исходные данные'!$J13),1)</f>
        <v>0</v>
      </c>
      <c r="N18" s="34">
        <f>N$7*N$8*'Исходные данные'!$C13*CHOOSE('Детальный расчет'!N$3,'Исходные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расчет'!N$3,'Детальный расчет'!N$3&lt;=6),(1+'Исходные данные'!$I13),1)*IF(AND(7&lt;='Детальный расчет'!N$3,'Детальный расчет'!N$3&lt;=9),(1+'Исходные данные'!$J13),1)</f>
        <v>0</v>
      </c>
      <c r="O18" s="122">
        <f t="shared" si="12"/>
        <v>0</v>
      </c>
      <c r="P18" s="122">
        <f t="shared" si="13"/>
        <v>0</v>
      </c>
      <c r="Q18" s="34">
        <f>Q$7*Q$8*'Исходные данные'!$C13*CHOOSE('Детальный расчет'!Q$3,'Исходные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расчет'!Q$3,'Детальный расчет'!Q$3&lt;=6),(1+'Исходные данные'!$I13),1)*IF(AND(7&lt;='Детальный расчет'!Q$3,'Детальный расчет'!Q$3&lt;=9),(1+'Исходные данные'!$J13),1)</f>
        <v>0</v>
      </c>
      <c r="R18" s="34">
        <f>R$7*R$8*'Исходные данные'!$C13*CHOOSE('Детальный расчет'!R$3,'Исходные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расчет'!R$3,'Детальный расчет'!R$3&lt;=6),(1+'Исходные данные'!$I13),1)*IF(AND(7&lt;='Детальный расчет'!R$3,'Детальный расчет'!R$3&lt;=9),(1+'Исходные данные'!$J13),1)</f>
        <v>0</v>
      </c>
      <c r="S18" s="34">
        <f>S$7*S$8*'Исходные данные'!$C13*CHOOSE('Детальный расчет'!S$3,'Исходные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расчет'!S$3,'Детальный расчет'!S$3&lt;=6),(1+'Исходные данные'!$I13),1)*IF(AND(7&lt;='Детальный расчет'!S$3,'Детальный расчет'!S$3&lt;=9),(1+'Исходные данные'!$J13),1)</f>
        <v>0</v>
      </c>
      <c r="T18" s="34">
        <f>T$7*T$8*'Исходные данные'!$C13*CHOOSE('Детальный расчет'!T$3,'Исходные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расчет'!T$3,'Детальный расчет'!T$3&lt;=6),(1+'Исходные данные'!$I13),1)*IF(AND(7&lt;='Детальный расчет'!T$3,'Детальный расчет'!T$3&lt;=9),(1+'Исходные данные'!$J13),1)</f>
        <v>0</v>
      </c>
      <c r="U18" s="34">
        <f>U$7*U$8*'Исходные данные'!$C13*CHOOSE('Детальный расчет'!U$3,'Исходные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расчет'!U$3,'Детальный расчет'!U$3&lt;=6),(1+'Исходные данные'!$I13),1)*IF(AND(7&lt;='Детальный расчет'!U$3,'Детальный расчет'!U$3&lt;=9),(1+'Исходные данные'!$J13),1)</f>
        <v>0</v>
      </c>
      <c r="V18" s="34">
        <f>V$7*V$8*'Исходные данные'!$C13*CHOOSE('Детальный расчет'!V$3,'Исходные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расчет'!V$3,'Детальный расчет'!V$3&lt;=6),(1+'Исходные данные'!$I13),1)*IF(AND(7&lt;='Детальный расчет'!V$3,'Детальный расчет'!V$3&lt;=9),(1+'Исходные данные'!$J13),1)</f>
        <v>0</v>
      </c>
      <c r="W18" s="34">
        <f>W$7*W$8*'Исходные данные'!$C13*CHOOSE('Детальный расчет'!W$3,'Исходные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расчет'!W$3,'Детальный расчет'!W$3&lt;=6),(1+'Исходные данные'!$I13),1)*IF(AND(7&lt;='Детальный расчет'!W$3,'Детальный расчет'!W$3&lt;=9),(1+'Исходные данные'!$J13),1)</f>
        <v>0</v>
      </c>
      <c r="X18" s="34">
        <f>X$7*X$8*'Исходные данные'!$C13*CHOOSE('Детальный расчет'!X$3,'Исходные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расчет'!X$3,'Детальный расчет'!X$3&lt;=6),(1+'Исходные данные'!$I13),1)*IF(AND(7&lt;='Детальный расчет'!X$3,'Детальный расчет'!X$3&lt;=9),(1+'Исходные данные'!$J13),1)</f>
        <v>0</v>
      </c>
      <c r="Y18" s="34">
        <f>Y$7*Y$8*'Исходные данные'!$C13*CHOOSE('Детальный расчет'!Y$3,'Исходные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расчет'!Y$3,'Детальный расчет'!Y$3&lt;=6),(1+'Исходные данные'!$I13),1)*IF(AND(7&lt;='Детальный расчет'!Y$3,'Детальный расчет'!Y$3&lt;=9),(1+'Исходные данные'!$J13),1)</f>
        <v>0</v>
      </c>
      <c r="Z18" s="34">
        <f>Z$7*Z$8*'Исходные данные'!$C13*CHOOSE('Детальный расчет'!Z$3,'Исходные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расчет'!Z$3,'Детальный расчет'!Z$3&lt;=6),(1+'Исходные данные'!$I13),1)*IF(AND(7&lt;='Детальный расчет'!Z$3,'Детальный расчет'!Z$3&lt;=9),(1+'Исходные данные'!$J13),1)</f>
        <v>0</v>
      </c>
      <c r="AA18" s="34">
        <f>AA$7*AA$8*'Исходные данные'!$C13*CHOOSE('Детальный расчет'!AA$3,'Исходные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расчет'!AA$3,'Детальный расчет'!AA$3&lt;=6),(1+'Исходные данные'!$I13),1)*IF(AND(7&lt;='Детальный расчет'!AA$3,'Детальный расчет'!AA$3&lt;=9),(1+'Исходные данные'!$J13),1)</f>
        <v>0</v>
      </c>
      <c r="AB18" s="34">
        <f>AB$7*AB$8*'Исходные данные'!$C13*CHOOSE('Детальный расчет'!AB$3,'Исходные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расчет'!AB$3,'Детальный расчет'!AB$3&lt;=6),(1+'Исходные данные'!$I13),1)*IF(AND(7&lt;='Детальный расчет'!AB$3,'Детальный расчет'!AB$3&lt;=9),(1+'Исходные данные'!$J13),1)</f>
        <v>0</v>
      </c>
      <c r="AC18" s="122">
        <f t="shared" si="14"/>
        <v>0</v>
      </c>
      <c r="AD18" s="122">
        <f t="shared" si="15"/>
        <v>0</v>
      </c>
      <c r="AE18" s="34">
        <f>AE$7*AE$8*'Исходные данные'!$C13*CHOOSE('Детальный расчет'!AE$3,'Исходные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расчет'!AE$3,'Детальный расчет'!AE$3&lt;=6),(1+'Исходные данные'!$I13),1)*IF(AND(7&lt;='Детальный расчет'!AE$3,'Детальный расчет'!AE$3&lt;=9),(1+'Исходные данные'!$J13),1)</f>
        <v>0</v>
      </c>
      <c r="AF18" s="34">
        <f>AF$7*AF$8*'Исходные данные'!$C13*CHOOSE('Детальный расчет'!AF$3,'Исходные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расчет'!AF$3,'Детальный расчет'!AF$3&lt;=6),(1+'Исходные данные'!$I13),1)*IF(AND(7&lt;='Детальный расчет'!AF$3,'Детальный расчет'!AF$3&lt;=9),(1+'Исходные данные'!$J13),1)</f>
        <v>0</v>
      </c>
      <c r="AG18" s="34">
        <f>AG$7*AG$8*'Исходные данные'!$C13*CHOOSE('Детальный расчет'!AG$3,'Исходные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расчет'!AG$3,'Детальный расчет'!AG$3&lt;=6),(1+'Исходные данные'!$I13),1)*IF(AND(7&lt;='Детальный расчет'!AG$3,'Детальный расчет'!AG$3&lt;=9),(1+'Исходные данные'!$J13),1)</f>
        <v>0</v>
      </c>
      <c r="AH18" s="34">
        <f>AH$7*AH$8*'Исходные данные'!$C13*CHOOSE('Детальный расчет'!AH$3,'Исходные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расчет'!AH$3,'Детальный расчет'!AH$3&lt;=6),(1+'Исходные данные'!$I13),1)*IF(AND(7&lt;='Детальный расчет'!AH$3,'Детальный расчет'!AH$3&lt;=9),(1+'Исходные данные'!$J13),1)</f>
        <v>0</v>
      </c>
      <c r="AI18" s="34">
        <f>AI$7*AI$8*'Исходные данные'!$C13*CHOOSE('Детальный расчет'!AI$3,'Исходные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расчет'!AI$3,'Детальный расчет'!AI$3&lt;=6),(1+'Исходные данные'!$I13),1)*IF(AND(7&lt;='Детальный расчет'!AI$3,'Детальный расчет'!AI$3&lt;=9),(1+'Исходные данные'!$J13),1)</f>
        <v>0</v>
      </c>
      <c r="AJ18" s="34">
        <f>AJ$7*AJ$8*'Исходные данные'!$C13*CHOOSE('Детальный расчет'!AJ$3,'Исходные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расчет'!AJ$3,'Детальный расчет'!AJ$3&lt;=6),(1+'Исходные данные'!$I13),1)*IF(AND(7&lt;='Детальный расчет'!AJ$3,'Детальный расчет'!AJ$3&lt;=9),(1+'Исходные данные'!$J13),1)</f>
        <v>0</v>
      </c>
      <c r="AK18" s="34">
        <f>AK$7*AK$8*'Исходные данные'!$C13*CHOOSE('Детальный расчет'!AK$3,'Исходные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расчет'!AK$3,'Детальный расчет'!AK$3&lt;=6),(1+'Исходные данные'!$I13),1)*IF(AND(7&lt;='Детальный расчет'!AK$3,'Детальный расчет'!AK$3&lt;=9),(1+'Исходные данные'!$J13),1)</f>
        <v>0</v>
      </c>
      <c r="AL18" s="34">
        <f>AL$7*AL$8*'Исходные данные'!$C13*CHOOSE('Детальный расчет'!AL$3,'Исходные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расчет'!AL$3,'Детальный расчет'!AL$3&lt;=6),(1+'Исходные данные'!$I13),1)*IF(AND(7&lt;='Детальный расчет'!AL$3,'Детальный расчет'!AL$3&lt;=9),(1+'Исходные данные'!$J13),1)</f>
        <v>0</v>
      </c>
      <c r="AM18" s="34">
        <f>AM$7*AM$8*'Исходные данные'!$C13*CHOOSE('Детальный расчет'!AM$3,'Исходные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расчет'!AM$3,'Детальный расчет'!AM$3&lt;=6),(1+'Исходные данные'!$I13),1)*IF(AND(7&lt;='Детальный расчет'!AM$3,'Детальный расчет'!AM$3&lt;=9),(1+'Исходные данные'!$J13),1)</f>
        <v>0</v>
      </c>
      <c r="AN18" s="34">
        <f>AN$7*AN$8*'Исходные данные'!$C13*CHOOSE('Детальный расчет'!AN$3,'Исходные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расчет'!AN$3,'Детальный расчет'!AN$3&lt;=6),(1+'Исходные данные'!$I13),1)*IF(AND(7&lt;='Детальный расчет'!AN$3,'Детальный расчет'!AN$3&lt;=9),(1+'Исходные данные'!$J13),1)</f>
        <v>0</v>
      </c>
      <c r="AO18" s="34">
        <f>AO$7*AO$8*'Исходные данные'!$C13*CHOOSE('Детальный расчет'!AO$3,'Исходные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расчет'!AO$3,'Детальный расчет'!AO$3&lt;=6),(1+'Исходные данные'!$I13),1)*IF(AND(7&lt;='Детальный расчет'!AO$3,'Детальный расчет'!AO$3&lt;=9),(1+'Исходные данные'!$J13),1)</f>
        <v>0</v>
      </c>
      <c r="AP18" s="34">
        <f>AP$7*AP$8*'Исходные данные'!$C13*CHOOSE('Детальный расчет'!AP$3,'Исходные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данные'!$N24)*IF(AND(4&lt;='Детальный расчет'!AP$3,'Детальный расчет'!AP$3&lt;=6),(1+'Исходные данные'!$I13),1)*IF(AND(7&lt;='Детальный расчет'!AP$3,'Детальный расчет'!AP$3&lt;=9),(1+'Исходные данные'!$J13),1)</f>
        <v>0</v>
      </c>
      <c r="AQ18" s="122">
        <f t="shared" si="16"/>
        <v>0</v>
      </c>
      <c r="AR18" s="122">
        <f t="shared" si="17"/>
        <v>0</v>
      </c>
      <c r="AS18" s="129">
        <f t="shared" si="18"/>
        <v>0</v>
      </c>
      <c r="AT18" s="35"/>
    </row>
    <row r="19" spans="1:46" s="39" customFormat="1" ht="10.5" x14ac:dyDescent="0.35">
      <c r="A19" s="24" t="str">
        <f>'Исходные данные'!A14</f>
        <v>Бани-бочки</v>
      </c>
      <c r="B19" s="25" t="str">
        <f>CHOOSE('Исходные данные'!$R$2,'Исходные данные'!$S$2,'Исходные данные'!$S$3,'Исходные данные'!$S$4,'Исходные данные'!$S$5)</f>
        <v>RUB</v>
      </c>
      <c r="C19" s="37">
        <f>C$7*C$8*'Исходные данные'!$C14*CHOOSE('Детальный расчет'!C$3,'Исходные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расчет'!C$3,'Детальный расчет'!C$3&lt;=6),(1+'Исходные данные'!$I14),1)*IF(AND(7&lt;='Детальный расчет'!C$3,'Детальный расчет'!C$3&lt;=9),(1+'Исходные данные'!$J14),1)</f>
        <v>0</v>
      </c>
      <c r="D19" s="37">
        <f>D$7*D$8*'Исходные данные'!$C14*CHOOSE('Детальный расчет'!D$3,'Исходные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расчет'!D$3,'Детальный расчет'!D$3&lt;=6),(1+'Исходные данные'!$I14),1)*IF(AND(7&lt;='Детальный расчет'!D$3,'Детальный расчет'!D$3&lt;=9),(1+'Исходные данные'!$J14),1)</f>
        <v>0</v>
      </c>
      <c r="E19" s="37">
        <f>E$7*E$8*'Исходные данные'!$C14*CHOOSE('Детальный расчет'!E$3,'Исходные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расчет'!E$3,'Детальный расчет'!E$3&lt;=6),(1+'Исходные данные'!$I14),1)*IF(AND(7&lt;='Детальный расчет'!E$3,'Детальный расчет'!E$3&lt;=9),(1+'Исходные данные'!$J14),1)</f>
        <v>0</v>
      </c>
      <c r="F19" s="37">
        <f>F$7*F$8*'Исходные данные'!$C14*CHOOSE('Детальный расчет'!F$3,'Исходные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расчет'!F$3,'Детальный расчет'!F$3&lt;=6),(1+'Исходные данные'!$I14),1)*IF(AND(7&lt;='Детальный расчет'!F$3,'Детальный расчет'!F$3&lt;=9),(1+'Исходные данные'!$J14),1)</f>
        <v>0</v>
      </c>
      <c r="G19" s="37">
        <f>G$7*G$8*'Исходные данные'!$C14*CHOOSE('Детальный расчет'!G$3,'Исходные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расчет'!G$3,'Детальный расчет'!G$3&lt;=6),(1+'Исходные данные'!$I14),1)*IF(AND(7&lt;='Детальный расчет'!G$3,'Детальный расчет'!G$3&lt;=9),(1+'Исходные данные'!$J14),1)</f>
        <v>0</v>
      </c>
      <c r="H19" s="37">
        <f>H$7*H$8*'Исходные данные'!$C14*CHOOSE('Детальный расчет'!H$3,'Исходные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расчет'!H$3,'Детальный расчет'!H$3&lt;=6),(1+'Исходные данные'!$I14),1)*IF(AND(7&lt;='Детальный расчет'!H$3,'Детальный расчет'!H$3&lt;=9),(1+'Исходные данные'!$J14),1)</f>
        <v>0</v>
      </c>
      <c r="I19" s="37">
        <f>I$7*I$8*'Исходные данные'!$C14*CHOOSE('Детальный расчет'!I$3,'Исходные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расчет'!I$3,'Детальный расчет'!I$3&lt;=6),(1+'Исходные данные'!$I14),1)*IF(AND(7&lt;='Детальный расчет'!I$3,'Детальный расчет'!I$3&lt;=9),(1+'Исходные данные'!$J14),1)</f>
        <v>0</v>
      </c>
      <c r="J19" s="37">
        <f>J$7*J$8*'Исходные данные'!$C14*CHOOSE('Детальный расчет'!J$3,'Исходные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расчет'!J$3,'Детальный расчет'!J$3&lt;=6),(1+'Исходные данные'!$I14),1)*IF(AND(7&lt;='Детальный расчет'!J$3,'Детальный расчет'!J$3&lt;=9),(1+'Исходные данные'!$J14),1)</f>
        <v>0</v>
      </c>
      <c r="K19" s="37">
        <f>K$7*K$8*'Исходные данные'!$C14*CHOOSE('Детальный расчет'!K$3,'Исходные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расчет'!K$3,'Детальный расчет'!K$3&lt;=6),(1+'Исходные данные'!$I14),1)*IF(AND(7&lt;='Детальный расчет'!K$3,'Детальный расчет'!K$3&lt;=9),(1+'Исходные данные'!$J14),1)</f>
        <v>0</v>
      </c>
      <c r="L19" s="37">
        <f>L$7*L$8*'Исходные данные'!$C14*CHOOSE('Детальный расчет'!L$3,'Исходные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расчет'!L$3,'Детальный расчет'!L$3&lt;=6),(1+'Исходные данные'!$I14),1)*IF(AND(7&lt;='Детальный расчет'!L$3,'Детальный расчет'!L$3&lt;=9),(1+'Исходные данные'!$J14),1)</f>
        <v>0</v>
      </c>
      <c r="M19" s="37">
        <f>M$7*M$8*'Исходные данные'!$C14*CHOOSE('Детальный расчет'!M$3,'Исходные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расчет'!M$3,'Детальный расчет'!M$3&lt;=6),(1+'Исходные данные'!$I14),1)*IF(AND(7&lt;='Детальный расчет'!M$3,'Детальный расчет'!M$3&lt;=9),(1+'Исходные данные'!$J14),1)</f>
        <v>0</v>
      </c>
      <c r="N19" s="37">
        <f>N$7*N$8*'Исходные данные'!$C14*CHOOSE('Детальный расчет'!N$3,'Исходные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расчет'!N$3,'Детальный расчет'!N$3&lt;=6),(1+'Исходные данные'!$I14),1)*IF(AND(7&lt;='Детальный расчет'!N$3,'Детальный расчет'!N$3&lt;=9),(1+'Исходные данные'!$J14),1)</f>
        <v>0</v>
      </c>
      <c r="O19" s="56">
        <f t="shared" si="12"/>
        <v>0</v>
      </c>
      <c r="P19" s="56">
        <f t="shared" si="13"/>
        <v>0</v>
      </c>
      <c r="Q19" s="37">
        <f>Q$7*Q$8*'Исходные данные'!$C14*CHOOSE('Детальный расчет'!Q$3,'Исходные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расчет'!Q$3,'Детальный расчет'!Q$3&lt;=6),(1+'Исходные данные'!$I14),1)*IF(AND(7&lt;='Детальный расчет'!Q$3,'Детальный расчет'!Q$3&lt;=9),(1+'Исходные данные'!$J14),1)</f>
        <v>0</v>
      </c>
      <c r="R19" s="37">
        <f>R$7*R$8*'Исходные данные'!$C14*CHOOSE('Детальный расчет'!R$3,'Исходные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расчет'!R$3,'Детальный расчет'!R$3&lt;=6),(1+'Исходные данные'!$I14),1)*IF(AND(7&lt;='Детальный расчет'!R$3,'Детальный расчет'!R$3&lt;=9),(1+'Исходные данные'!$J14),1)</f>
        <v>0</v>
      </c>
      <c r="S19" s="37">
        <f>S$7*S$8*'Исходные данные'!$C14*CHOOSE('Детальный расчет'!S$3,'Исходные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расчет'!S$3,'Детальный расчет'!S$3&lt;=6),(1+'Исходные данные'!$I14),1)*IF(AND(7&lt;='Детальный расчет'!S$3,'Детальный расчет'!S$3&lt;=9),(1+'Исходные данные'!$J14),1)</f>
        <v>0</v>
      </c>
      <c r="T19" s="37">
        <f>T$7*T$8*'Исходные данные'!$C14*CHOOSE('Детальный расчет'!T$3,'Исходные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расчет'!T$3,'Детальный расчет'!T$3&lt;=6),(1+'Исходные данные'!$I14),1)*IF(AND(7&lt;='Детальный расчет'!T$3,'Детальный расчет'!T$3&lt;=9),(1+'Исходные данные'!$J14),1)</f>
        <v>0</v>
      </c>
      <c r="U19" s="37">
        <f>U$7*U$8*'Исходные данные'!$C14*CHOOSE('Детальный расчет'!U$3,'Исходные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расчет'!U$3,'Детальный расчет'!U$3&lt;=6),(1+'Исходные данные'!$I14),1)*IF(AND(7&lt;='Детальный расчет'!U$3,'Детальный расчет'!U$3&lt;=9),(1+'Исходные данные'!$J14),1)</f>
        <v>0</v>
      </c>
      <c r="V19" s="37">
        <f>V$7*V$8*'Исходные данные'!$C14*CHOOSE('Детальный расчет'!V$3,'Исходные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расчет'!V$3,'Детальный расчет'!V$3&lt;=6),(1+'Исходные данные'!$I14),1)*IF(AND(7&lt;='Детальный расчет'!V$3,'Детальный расчет'!V$3&lt;=9),(1+'Исходные данные'!$J14),1)</f>
        <v>0</v>
      </c>
      <c r="W19" s="37">
        <f>W$7*W$8*'Исходные данные'!$C14*CHOOSE('Детальный расчет'!W$3,'Исходные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расчет'!W$3,'Детальный расчет'!W$3&lt;=6),(1+'Исходные данные'!$I14),1)*IF(AND(7&lt;='Детальный расчет'!W$3,'Детальный расчет'!W$3&lt;=9),(1+'Исходные данные'!$J14),1)</f>
        <v>0</v>
      </c>
      <c r="X19" s="37">
        <f>X$7*X$8*'Исходные данные'!$C14*CHOOSE('Детальный расчет'!X$3,'Исходные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расчет'!X$3,'Детальный расчет'!X$3&lt;=6),(1+'Исходные данные'!$I14),1)*IF(AND(7&lt;='Детальный расчет'!X$3,'Детальный расчет'!X$3&lt;=9),(1+'Исходные данные'!$J14),1)</f>
        <v>0</v>
      </c>
      <c r="Y19" s="37">
        <f>Y$7*Y$8*'Исходные данные'!$C14*CHOOSE('Детальный расчет'!Y$3,'Исходные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расчет'!Y$3,'Детальный расчет'!Y$3&lt;=6),(1+'Исходные данные'!$I14),1)*IF(AND(7&lt;='Детальный расчет'!Y$3,'Детальный расчет'!Y$3&lt;=9),(1+'Исходные данные'!$J14),1)</f>
        <v>0</v>
      </c>
      <c r="Z19" s="37">
        <f>Z$7*Z$8*'Исходные данные'!$C14*CHOOSE('Детальный расчет'!Z$3,'Исходные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расчет'!Z$3,'Детальный расчет'!Z$3&lt;=6),(1+'Исходные данные'!$I14),1)*IF(AND(7&lt;='Детальный расчет'!Z$3,'Детальный расчет'!Z$3&lt;=9),(1+'Исходные данные'!$J14),1)</f>
        <v>0</v>
      </c>
      <c r="AA19" s="37">
        <f>AA$7*AA$8*'Исходные данные'!$C14*CHOOSE('Детальный расчет'!AA$3,'Исходные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расчет'!AA$3,'Детальный расчет'!AA$3&lt;=6),(1+'Исходные данные'!$I14),1)*IF(AND(7&lt;='Детальный расчет'!AA$3,'Детальный расчет'!AA$3&lt;=9),(1+'Исходные данные'!$J14),1)</f>
        <v>0</v>
      </c>
      <c r="AB19" s="37">
        <f>AB$7*AB$8*'Исходные данные'!$C14*CHOOSE('Детальный расчет'!AB$3,'Исходные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расчет'!AB$3,'Детальный расчет'!AB$3&lt;=6),(1+'Исходные данные'!$I14),1)*IF(AND(7&lt;='Детальный расчет'!AB$3,'Детальный расчет'!AB$3&lt;=9),(1+'Исходные данные'!$J14),1)</f>
        <v>0</v>
      </c>
      <c r="AC19" s="56">
        <f t="shared" si="14"/>
        <v>0</v>
      </c>
      <c r="AD19" s="56">
        <f t="shared" si="15"/>
        <v>0</v>
      </c>
      <c r="AE19" s="37">
        <f>AE$7*AE$8*'Исходные данные'!$C14*CHOOSE('Детальный расчет'!AE$3,'Исходные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расчет'!AE$3,'Детальный расчет'!AE$3&lt;=6),(1+'Исходные данные'!$I14),1)*IF(AND(7&lt;='Детальный расчет'!AE$3,'Детальный расчет'!AE$3&lt;=9),(1+'Исходные данные'!$J14),1)</f>
        <v>0</v>
      </c>
      <c r="AF19" s="37">
        <f>AF$7*AF$8*'Исходные данные'!$C14*CHOOSE('Детальный расчет'!AF$3,'Исходные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расчет'!AF$3,'Детальный расчет'!AF$3&lt;=6),(1+'Исходные данные'!$I14),1)*IF(AND(7&lt;='Детальный расчет'!AF$3,'Детальный расчет'!AF$3&lt;=9),(1+'Исходные данные'!$J14),1)</f>
        <v>0</v>
      </c>
      <c r="AG19" s="37">
        <f>AG$7*AG$8*'Исходные данные'!$C14*CHOOSE('Детальный расчет'!AG$3,'Исходные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расчет'!AG$3,'Детальный расчет'!AG$3&lt;=6),(1+'Исходные данные'!$I14),1)*IF(AND(7&lt;='Детальный расчет'!AG$3,'Детальный расчет'!AG$3&lt;=9),(1+'Исходные данные'!$J14),1)</f>
        <v>0</v>
      </c>
      <c r="AH19" s="37">
        <f>AH$7*AH$8*'Исходные данные'!$C14*CHOOSE('Детальный расчет'!AH$3,'Исходные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расчет'!AH$3,'Детальный расчет'!AH$3&lt;=6),(1+'Исходные данные'!$I14),1)*IF(AND(7&lt;='Детальный расчет'!AH$3,'Детальный расчет'!AH$3&lt;=9),(1+'Исходные данные'!$J14),1)</f>
        <v>0</v>
      </c>
      <c r="AI19" s="37">
        <f>AI$7*AI$8*'Исходные данные'!$C14*CHOOSE('Детальный расчет'!AI$3,'Исходные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расчет'!AI$3,'Детальный расчет'!AI$3&lt;=6),(1+'Исходные данные'!$I14),1)*IF(AND(7&lt;='Детальный расчет'!AI$3,'Детальный расчет'!AI$3&lt;=9),(1+'Исходные данные'!$J14),1)</f>
        <v>0</v>
      </c>
      <c r="AJ19" s="37">
        <f>AJ$7*AJ$8*'Исходные данные'!$C14*CHOOSE('Детальный расчет'!AJ$3,'Исходные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расчет'!AJ$3,'Детальный расчет'!AJ$3&lt;=6),(1+'Исходные данные'!$I14),1)*IF(AND(7&lt;='Детальный расчет'!AJ$3,'Детальный расчет'!AJ$3&lt;=9),(1+'Исходные данные'!$J14),1)</f>
        <v>0</v>
      </c>
      <c r="AK19" s="37">
        <f>AK$7*AK$8*'Исходные данные'!$C14*CHOOSE('Детальный расчет'!AK$3,'Исходные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расчет'!AK$3,'Детальный расчет'!AK$3&lt;=6),(1+'Исходные данные'!$I14),1)*IF(AND(7&lt;='Детальный расчет'!AK$3,'Детальный расчет'!AK$3&lt;=9),(1+'Исходные данные'!$J14),1)</f>
        <v>0</v>
      </c>
      <c r="AL19" s="37">
        <f>AL$7*AL$8*'Исходные данные'!$C14*CHOOSE('Детальный расчет'!AL$3,'Исходные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расчет'!AL$3,'Детальный расчет'!AL$3&lt;=6),(1+'Исходные данные'!$I14),1)*IF(AND(7&lt;='Детальный расчет'!AL$3,'Детальный расчет'!AL$3&lt;=9),(1+'Исходные данные'!$J14),1)</f>
        <v>0</v>
      </c>
      <c r="AM19" s="37">
        <f>AM$7*AM$8*'Исходные данные'!$C14*CHOOSE('Детальный расчет'!AM$3,'Исходные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расчет'!AM$3,'Детальный расчет'!AM$3&lt;=6),(1+'Исходные данные'!$I14),1)*IF(AND(7&lt;='Детальный расчет'!AM$3,'Детальный расчет'!AM$3&lt;=9),(1+'Исходные данные'!$J14),1)</f>
        <v>0</v>
      </c>
      <c r="AN19" s="37">
        <f>AN$7*AN$8*'Исходные данные'!$C14*CHOOSE('Детальный расчет'!AN$3,'Исходные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расчет'!AN$3,'Детальный расчет'!AN$3&lt;=6),(1+'Исходные данные'!$I14),1)*IF(AND(7&lt;='Детальный расчет'!AN$3,'Детальный расчет'!AN$3&lt;=9),(1+'Исходные данные'!$J14),1)</f>
        <v>0</v>
      </c>
      <c r="AO19" s="37">
        <f>AO$7*AO$8*'Исходные данные'!$C14*CHOOSE('Детальный расчет'!AO$3,'Исходные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расчет'!AO$3,'Детальный расчет'!AO$3&lt;=6),(1+'Исходные данные'!$I14),1)*IF(AND(7&lt;='Детальный расчет'!AO$3,'Детальный расчет'!AO$3&lt;=9),(1+'Исходные данные'!$J14),1)</f>
        <v>0</v>
      </c>
      <c r="AP19" s="37">
        <f>AP$7*AP$8*'Исходные данные'!$C14*CHOOSE('Детальный расчет'!AP$3,'Исходные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данные'!$N25)*IF(AND(4&lt;='Детальный расчет'!AP$3,'Детальный расчет'!AP$3&lt;=6),(1+'Исходные данные'!$I14),1)*IF(AND(7&lt;='Детальный расчет'!AP$3,'Детальный расчет'!AP$3&lt;=9),(1+'Исходные данные'!$J14),1)</f>
        <v>0</v>
      </c>
      <c r="AQ19" s="56">
        <f t="shared" si="16"/>
        <v>0</v>
      </c>
      <c r="AR19" s="56">
        <f t="shared" si="17"/>
        <v>0</v>
      </c>
      <c r="AS19" s="129">
        <f t="shared" si="18"/>
        <v>0</v>
      </c>
      <c r="AT19" s="38"/>
    </row>
    <row r="20" spans="1:46" s="28" customFormat="1" ht="11.25" x14ac:dyDescent="0.2">
      <c r="A20" s="29" t="s">
        <v>3</v>
      </c>
      <c r="B20" s="30" t="str">
        <f>CHOOSE('Исходные данные'!$R$2,'Исходные данные'!$S$2,'Исходные данные'!$S$3,'Исходные данные'!$S$4,'Исходные данные'!$S$5)</f>
        <v>RUB</v>
      </c>
      <c r="C20" s="107">
        <f t="shared" ref="C20:AS20" si="19">SUM(C14:C19)</f>
        <v>145000</v>
      </c>
      <c r="D20" s="107">
        <f t="shared" si="19"/>
        <v>293500</v>
      </c>
      <c r="E20" s="107">
        <f t="shared" si="19"/>
        <v>1001407.5</v>
      </c>
      <c r="F20" s="107">
        <f t="shared" si="19"/>
        <v>635644.5</v>
      </c>
      <c r="G20" s="107">
        <f t="shared" si="19"/>
        <v>449626</v>
      </c>
      <c r="H20" s="107">
        <f t="shared" si="19"/>
        <v>204200</v>
      </c>
      <c r="I20" s="107">
        <f t="shared" si="19"/>
        <v>193750</v>
      </c>
      <c r="J20" s="107">
        <f t="shared" si="19"/>
        <v>566150</v>
      </c>
      <c r="K20" s="107">
        <f t="shared" si="19"/>
        <v>322500</v>
      </c>
      <c r="L20" s="107">
        <f t="shared" si="19"/>
        <v>148500</v>
      </c>
      <c r="M20" s="107">
        <f t="shared" si="19"/>
        <v>87000</v>
      </c>
      <c r="N20" s="107">
        <f t="shared" si="19"/>
        <v>87000</v>
      </c>
      <c r="O20" s="107">
        <f t="shared" si="19"/>
        <v>4134278</v>
      </c>
      <c r="P20" s="107">
        <f t="shared" si="19"/>
        <v>344523.16666666669</v>
      </c>
      <c r="Q20" s="107">
        <f t="shared" si="19"/>
        <v>145000</v>
      </c>
      <c r="R20" s="107">
        <f t="shared" si="19"/>
        <v>293500</v>
      </c>
      <c r="S20" s="107">
        <f t="shared" si="19"/>
        <v>1001407.5</v>
      </c>
      <c r="T20" s="107">
        <f t="shared" si="19"/>
        <v>635644.5</v>
      </c>
      <c r="U20" s="107">
        <f t="shared" si="19"/>
        <v>449626</v>
      </c>
      <c r="V20" s="107">
        <f t="shared" si="19"/>
        <v>204200</v>
      </c>
      <c r="W20" s="107">
        <f t="shared" si="19"/>
        <v>193750</v>
      </c>
      <c r="X20" s="107">
        <f t="shared" si="19"/>
        <v>566150</v>
      </c>
      <c r="Y20" s="107">
        <f t="shared" si="19"/>
        <v>322500</v>
      </c>
      <c r="Z20" s="107">
        <f t="shared" si="19"/>
        <v>148500</v>
      </c>
      <c r="AA20" s="107">
        <f t="shared" si="19"/>
        <v>87000</v>
      </c>
      <c r="AB20" s="107">
        <f t="shared" si="19"/>
        <v>87000</v>
      </c>
      <c r="AC20" s="107">
        <f t="shared" si="19"/>
        <v>4134278</v>
      </c>
      <c r="AD20" s="107">
        <f t="shared" si="19"/>
        <v>344523.16666666669</v>
      </c>
      <c r="AE20" s="107">
        <f t="shared" si="19"/>
        <v>145000</v>
      </c>
      <c r="AF20" s="107">
        <f t="shared" si="19"/>
        <v>293500</v>
      </c>
      <c r="AG20" s="107">
        <f t="shared" si="19"/>
        <v>1001407.5</v>
      </c>
      <c r="AH20" s="107">
        <f t="shared" si="19"/>
        <v>635644.5</v>
      </c>
      <c r="AI20" s="107">
        <f t="shared" si="19"/>
        <v>449626</v>
      </c>
      <c r="AJ20" s="107">
        <f t="shared" si="19"/>
        <v>204200</v>
      </c>
      <c r="AK20" s="107">
        <f t="shared" si="19"/>
        <v>193750</v>
      </c>
      <c r="AL20" s="107">
        <f t="shared" si="19"/>
        <v>566150</v>
      </c>
      <c r="AM20" s="107">
        <f t="shared" si="19"/>
        <v>322500</v>
      </c>
      <c r="AN20" s="107">
        <f t="shared" si="19"/>
        <v>148500</v>
      </c>
      <c r="AO20" s="107">
        <f t="shared" si="19"/>
        <v>87000</v>
      </c>
      <c r="AP20" s="107">
        <f t="shared" si="19"/>
        <v>87000</v>
      </c>
      <c r="AQ20" s="107">
        <f t="shared" si="19"/>
        <v>4134278</v>
      </c>
      <c r="AR20" s="107">
        <f t="shared" si="19"/>
        <v>344523.16666666669</v>
      </c>
      <c r="AS20" s="107">
        <f t="shared" si="19"/>
        <v>12402834</v>
      </c>
      <c r="AT20" s="27"/>
    </row>
    <row r="21" spans="1:46" s="20" customFormat="1" ht="10.9" thickBot="1" x14ac:dyDescent="0.45">
      <c r="A21" s="31"/>
      <c r="B21" s="32"/>
      <c r="C21" s="33"/>
      <c r="D21" s="31"/>
      <c r="E21" s="31"/>
      <c r="F21" s="31"/>
      <c r="G21" s="31"/>
      <c r="H21" s="31"/>
      <c r="I21" s="184"/>
      <c r="J21" s="31"/>
      <c r="O21" s="59"/>
      <c r="P21" s="59"/>
      <c r="Q21" s="33"/>
      <c r="R21" s="31"/>
      <c r="S21" s="31"/>
      <c r="T21" s="31"/>
      <c r="U21" s="31"/>
      <c r="V21" s="31"/>
      <c r="W21" s="31"/>
      <c r="X21" s="31"/>
      <c r="AC21" s="59"/>
      <c r="AD21" s="59"/>
      <c r="AE21" s="33"/>
      <c r="AF21" s="31"/>
      <c r="AG21" s="31"/>
      <c r="AH21" s="31"/>
      <c r="AI21" s="31"/>
      <c r="AJ21" s="31"/>
      <c r="AK21" s="31"/>
      <c r="AL21" s="31"/>
      <c r="AQ21" s="59"/>
      <c r="AR21" s="59"/>
    </row>
    <row r="22" spans="1:46" s="20" customFormat="1" ht="24" thickTop="1" thickBot="1" x14ac:dyDescent="0.25">
      <c r="A22" s="18" t="s">
        <v>8</v>
      </c>
      <c r="B22" s="19"/>
      <c r="C22" s="19" t="str">
        <f t="shared" ref="C22:N22" si="20">C$6</f>
        <v>февраль</v>
      </c>
      <c r="D22" s="19" t="str">
        <f t="shared" si="20"/>
        <v>март</v>
      </c>
      <c r="E22" s="19" t="str">
        <f t="shared" si="20"/>
        <v>апрель</v>
      </c>
      <c r="F22" s="19" t="str">
        <f t="shared" si="20"/>
        <v>май</v>
      </c>
      <c r="G22" s="19" t="str">
        <f t="shared" si="20"/>
        <v>июнь</v>
      </c>
      <c r="H22" s="19" t="str">
        <f t="shared" si="20"/>
        <v>июль</v>
      </c>
      <c r="I22" s="19" t="str">
        <f t="shared" si="20"/>
        <v>август</v>
      </c>
      <c r="J22" s="19" t="str">
        <f t="shared" si="20"/>
        <v>сентябрь</v>
      </c>
      <c r="K22" s="19" t="str">
        <f t="shared" si="20"/>
        <v>октябрь</v>
      </c>
      <c r="L22" s="19" t="str">
        <f t="shared" si="20"/>
        <v>ноябрь</v>
      </c>
      <c r="M22" s="19" t="str">
        <f t="shared" si="20"/>
        <v>декабрь</v>
      </c>
      <c r="N22" s="19" t="str">
        <f t="shared" si="20"/>
        <v>январь</v>
      </c>
      <c r="O22" s="160" t="str">
        <f>O13</f>
        <v>Итого за 1-й год</v>
      </c>
      <c r="P22" s="160" t="str">
        <f>P13</f>
        <v>Среднемесячно за 1-й год</v>
      </c>
      <c r="Q22" s="19" t="str">
        <f t="shared" ref="Q22:AB22" si="21">Q$6</f>
        <v>февраль</v>
      </c>
      <c r="R22" s="19" t="str">
        <f t="shared" si="21"/>
        <v>март</v>
      </c>
      <c r="S22" s="19" t="str">
        <f t="shared" si="21"/>
        <v>апрель</v>
      </c>
      <c r="T22" s="19" t="str">
        <f t="shared" si="21"/>
        <v>май</v>
      </c>
      <c r="U22" s="19" t="str">
        <f t="shared" si="21"/>
        <v>июнь</v>
      </c>
      <c r="V22" s="19" t="str">
        <f t="shared" si="21"/>
        <v>июль</v>
      </c>
      <c r="W22" s="19" t="str">
        <f t="shared" si="21"/>
        <v>август</v>
      </c>
      <c r="X22" s="19" t="str">
        <f t="shared" si="21"/>
        <v>сентябрь</v>
      </c>
      <c r="Y22" s="19" t="str">
        <f t="shared" si="21"/>
        <v>октябрь</v>
      </c>
      <c r="Z22" s="19" t="str">
        <f t="shared" si="21"/>
        <v>ноябрь</v>
      </c>
      <c r="AA22" s="19" t="str">
        <f t="shared" si="21"/>
        <v>декабрь</v>
      </c>
      <c r="AB22" s="19" t="str">
        <f t="shared" si="21"/>
        <v>январь</v>
      </c>
      <c r="AC22" s="112" t="str">
        <f>AC13</f>
        <v>Итого за 2-й год</v>
      </c>
      <c r="AD22" s="112" t="str">
        <f>AD13</f>
        <v>Среднемесячно за 2-й год</v>
      </c>
      <c r="AE22" s="19" t="str">
        <f t="shared" ref="AE22:AP22" si="22">AE$6</f>
        <v>февраль</v>
      </c>
      <c r="AF22" s="19" t="str">
        <f t="shared" si="22"/>
        <v>март</v>
      </c>
      <c r="AG22" s="19" t="str">
        <f t="shared" si="22"/>
        <v>апрель</v>
      </c>
      <c r="AH22" s="19" t="str">
        <f t="shared" si="22"/>
        <v>май</v>
      </c>
      <c r="AI22" s="19" t="str">
        <f t="shared" si="22"/>
        <v>июнь</v>
      </c>
      <c r="AJ22" s="19" t="str">
        <f t="shared" si="22"/>
        <v>июль</v>
      </c>
      <c r="AK22" s="19" t="str">
        <f t="shared" si="22"/>
        <v>август</v>
      </c>
      <c r="AL22" s="19" t="str">
        <f t="shared" si="22"/>
        <v>сентябрь</v>
      </c>
      <c r="AM22" s="19" t="str">
        <f t="shared" si="22"/>
        <v>октябрь</v>
      </c>
      <c r="AN22" s="19" t="str">
        <f t="shared" si="22"/>
        <v>ноябрь</v>
      </c>
      <c r="AO22" s="19" t="str">
        <f t="shared" si="22"/>
        <v>декабрь</v>
      </c>
      <c r="AP22" s="19" t="str">
        <f t="shared" si="22"/>
        <v>январь</v>
      </c>
      <c r="AQ22" s="112" t="str">
        <f>AQ13</f>
        <v>Итого за 3-й год</v>
      </c>
      <c r="AR22" s="112" t="str">
        <f>AR13</f>
        <v>Среднемесячно за 3-й год</v>
      </c>
      <c r="AS22" s="131" t="str">
        <f>AS12</f>
        <v>Итого за три года</v>
      </c>
    </row>
    <row r="23" spans="1:46" s="36" customFormat="1" ht="10.9" thickTop="1" x14ac:dyDescent="0.35">
      <c r="A23" s="64" t="str">
        <f t="shared" ref="A23:A28" si="23">A14</f>
        <v>Теплицы</v>
      </c>
      <c r="B23" s="22" t="str">
        <f>CHOOSE('Исходные данные'!$R$2,'Исходные данные'!$S$2,'Исходные данные'!$S$3,'Исходные данные'!$S$4,'Исходные данные'!$S$5)</f>
        <v>RUB</v>
      </c>
      <c r="C23" s="34">
        <f>C$7*C$8*'Исходные данные'!$C9*CHOOSE('Детальный расчет'!C$3,'Исходные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D23" s="34">
        <f>D$7*D$8*'Исходные данные'!$C9*CHOOSE('Детальный расчет'!D$3,'Исходные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E23" s="34">
        <f>E$7*E$8*'Исходные данные'!$C9*CHOOSE('Детальный расчет'!E$3,'Исходные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549242.4242424242</v>
      </c>
      <c r="F23" s="34">
        <f>F$7*F$8*'Исходные данные'!$C9*CHOOSE('Детальный расчет'!F$3,'Исходные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G23" s="34">
        <f>G$7*G$8*'Исходные данные'!$C9*CHOOSE('Детальный расчет'!G$3,'Исходные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H23" s="34">
        <f>H$7*H$8*'Исходные данные'!$C9*CHOOSE('Детальный расчет'!H$3,'Исходные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I23" s="34">
        <f>I$7*I$8*'Исходные данные'!$C9*CHOOSE('Детальный расчет'!I$3,'Исходные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J23" s="34">
        <f>J$7*J$8*'Исходные данные'!$C9*CHOOSE('Детальный расчет'!J$3,'Исходные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K23" s="34">
        <f>K$7*K$8*'Исходные данные'!$C9*CHOOSE('Детальный расчет'!K$3,'Исходные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L23" s="34">
        <f>L$7*L$8*'Исходные данные'!$C9*CHOOSE('Детальный расчет'!L$3,'Исходные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M23" s="34">
        <f>M$7*M$8*'Исходные данные'!$C9*CHOOSE('Детальный расчет'!M$3,'Исходные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N23" s="34">
        <f>N$7*N$8*'Исходные данные'!$C9*CHOOSE('Детальный расчет'!N$3,'Исходные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O23" s="122">
        <f t="shared" ref="O23:O28" si="24">SUM(C23:N23)</f>
        <v>2438636.3636363633</v>
      </c>
      <c r="P23" s="122">
        <f t="shared" ref="P23:P28" si="25">O23/12</f>
        <v>203219.69696969693</v>
      </c>
      <c r="Q23" s="34">
        <f>Q$7*Q$8*'Исходные данные'!$C9*CHOOSE('Детальный расчет'!Q$3,'Исходные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R23" s="34">
        <f>R$7*R$8*'Исходные данные'!$C9*CHOOSE('Детальный расчет'!R$3,'Исходные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S23" s="34">
        <f>S$7*S$8*'Исходные данные'!$C9*CHOOSE('Детальный расчет'!S$3,'Исходные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549242.4242424242</v>
      </c>
      <c r="T23" s="34">
        <f>T$7*T$8*'Исходные данные'!$C9*CHOOSE('Детальный расчет'!T$3,'Исходные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U23" s="34">
        <f>U$7*U$8*'Исходные данные'!$C9*CHOOSE('Детальный расчет'!U$3,'Исходные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V23" s="34">
        <f>V$7*V$8*'Исходные данные'!$C9*CHOOSE('Детальный расчет'!V$3,'Исходные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W23" s="34">
        <f>W$7*W$8*'Исходные данные'!$C9*CHOOSE('Детальный расчет'!W$3,'Исходные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X23" s="34">
        <f>X$7*X$8*'Исходные данные'!$C9*CHOOSE('Детальный расчет'!X$3,'Исходные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Y23" s="34">
        <f>Y$7*Y$8*'Исходные данные'!$C9*CHOOSE('Детальный расчет'!Y$3,'Исходные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Z23" s="34">
        <f>Z$7*Z$8*'Исходные данные'!$C9*CHOOSE('Детальный расчет'!Z$3,'Исходные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AA23" s="34">
        <f>AA$7*AA$8*'Исходные данные'!$C9*CHOOSE('Детальный расчет'!AA$3,'Исходные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AB23" s="34">
        <f>AB$7*AB$8*'Исходные данные'!$C9*CHOOSE('Детальный расчет'!AB$3,'Исходные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AC23" s="122">
        <f t="shared" ref="AC23:AC28" si="26">SUM(Q23:AB23)</f>
        <v>2438636.3636363633</v>
      </c>
      <c r="AD23" s="122">
        <f t="shared" ref="AD23:AD28" si="27">AC23/12</f>
        <v>203219.69696969693</v>
      </c>
      <c r="AE23" s="34">
        <f>AE$7*AE$8*'Исходные данные'!$C9*CHOOSE('Детальный расчет'!AE$3,'Исходные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AF23" s="34">
        <f>AF$7*AF$8*'Исходные данные'!$C9*CHOOSE('Детальный расчет'!AF$3,'Исходные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AG23" s="34">
        <f>AG$7*AG$8*'Исходные данные'!$C9*CHOOSE('Детальный расчет'!AG$3,'Исходные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549242.4242424242</v>
      </c>
      <c r="AH23" s="34">
        <f>AH$7*AH$8*'Исходные данные'!$C9*CHOOSE('Детальный расчет'!AH$3,'Исходные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AI23" s="34">
        <f>AI$7*AI$8*'Исходные данные'!$C9*CHOOSE('Детальный расчет'!AI$3,'Исходные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AJ23" s="34">
        <f>AJ$7*AJ$8*'Исходные данные'!$C9*CHOOSE('Детальный расчет'!AJ$3,'Исходные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AK23" s="34">
        <f>AK$7*AK$8*'Исходные данные'!$C9*CHOOSE('Детальный расчет'!AK$3,'Исходные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AL23" s="34">
        <f>AL$7*AL$8*'Исходные данные'!$C9*CHOOSE('Детальный расчет'!AL$3,'Исходные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329545.45454545453</v>
      </c>
      <c r="AM23" s="34">
        <f>AM$7*AM$8*'Исходные данные'!$C9*CHOOSE('Детальный расчет'!AM$3,'Исходные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219696.9696969697</v>
      </c>
      <c r="AN23" s="34">
        <f>AN$7*AN$8*'Исходные данные'!$C9*CHOOSE('Детальный расчет'!AN$3,'Исходные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109848.48484848485</v>
      </c>
      <c r="AO23" s="34">
        <f>AO$7*AO$8*'Исходные данные'!$C9*CHOOSE('Детальный расчет'!AO$3,'Исходные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AP23" s="34">
        <f>AP$7*AP$8*'Исходные данные'!$C9*CHOOSE('Детальный расчет'!AP$3,'Исходные данные'!$C20,'Исходные данные'!$D20,'Исходные данные'!$E20,'Исходные данные'!$F20,'Исходные данные'!$G20,'Исходные данные'!$H20,'Исходные данные'!$I20,'Исходные данные'!$J20,'Исходные данные'!$K20,'Исходные данные'!$L20,'Исходные данные'!$M20,'Исходные данные'!$N20)/(1+'Исходные данные'!$F9)</f>
        <v>65909.090909090912</v>
      </c>
      <c r="AQ23" s="122">
        <f t="shared" ref="AQ23:AQ28" si="28">SUM(AE23:AP23)</f>
        <v>2438636.3636363633</v>
      </c>
      <c r="AR23" s="122">
        <f t="shared" ref="AR23:AR28" si="29">AQ23/12</f>
        <v>203219.69696969693</v>
      </c>
      <c r="AS23" s="129">
        <f t="shared" ref="AS23:AS28" si="30">O23+AC23+AQ23</f>
        <v>7315909.0909090899</v>
      </c>
      <c r="AT23" s="35"/>
    </row>
    <row r="24" spans="1:46" s="39" customFormat="1" ht="10.5" x14ac:dyDescent="0.35">
      <c r="A24" s="24" t="str">
        <f t="shared" si="23"/>
        <v>Сотовый поликарбонат (доп.)</v>
      </c>
      <c r="B24" s="25" t="str">
        <f>CHOOSE('Исходные данные'!$R$2,'Исходные данные'!$S$2,'Исходные данные'!$S$3,'Исходные данные'!$S$4,'Исходные данные'!$S$5)</f>
        <v>RUB</v>
      </c>
      <c r="C24" s="37">
        <f>C$7*C$8*'Исходные данные'!$C10*CHOOSE('Детальный расчет'!C$3,'Исходные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D24" s="37">
        <f>D$7*D$8*'Исходные данные'!$C10*CHOOSE('Детальный расчет'!D$3,'Исходные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E24" s="37">
        <f>E$7*E$8*'Исходные данные'!$C10*CHOOSE('Детальный расчет'!E$3,'Исходные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42479.674796747968</v>
      </c>
      <c r="F24" s="37">
        <f>F$7*F$8*'Исходные данные'!$C10*CHOOSE('Детальный расчет'!F$3,'Исходные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G24" s="37">
        <f>G$7*G$8*'Исходные данные'!$C10*CHOOSE('Детальный расчет'!G$3,'Исходные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33983.739837398374</v>
      </c>
      <c r="H24" s="37">
        <f>H$7*H$8*'Исходные данные'!$C10*CHOOSE('Детальный расчет'!H$3,'Исходные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16991.869918699187</v>
      </c>
      <c r="I24" s="37">
        <f>I$7*I$8*'Исходные данные'!$C10*CHOOSE('Детальный расчет'!I$3,'Исходные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8495.9349593495936</v>
      </c>
      <c r="J24" s="37">
        <f>J$7*J$8*'Исходные данные'!$C10*CHOOSE('Детальный расчет'!J$3,'Исходные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K24" s="37">
        <f>K$7*K$8*'Исходные данные'!$C10*CHOOSE('Детальный расчет'!K$3,'Исходные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L24" s="37">
        <f>L$7*L$8*'Исходные данные'!$C10*CHOOSE('Детальный расчет'!L$3,'Исходные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M24" s="37">
        <f>M$7*M$8*'Исходные данные'!$C10*CHOOSE('Детальный расчет'!M$3,'Исходные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N24" s="37">
        <f>N$7*N$8*'Исходные данные'!$C10*CHOOSE('Детальный расчет'!N$3,'Исходные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O24" s="56">
        <f t="shared" si="24"/>
        <v>152926.82926829267</v>
      </c>
      <c r="P24" s="56">
        <f t="shared" si="25"/>
        <v>12743.902439024389</v>
      </c>
      <c r="Q24" s="37">
        <f>Q$7*Q$8*'Исходные данные'!$C10*CHOOSE('Детальный расчет'!Q$3,'Исходные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R24" s="37">
        <f>R$7*R$8*'Исходные данные'!$C10*CHOOSE('Детальный расчет'!R$3,'Исходные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S24" s="37">
        <f>S$7*S$8*'Исходные данные'!$C10*CHOOSE('Детальный расчет'!S$3,'Исходные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42479.674796747968</v>
      </c>
      <c r="T24" s="37">
        <f>T$7*T$8*'Исходные данные'!$C10*CHOOSE('Детальный расчет'!T$3,'Исходные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U24" s="37">
        <f>U$7*U$8*'Исходные данные'!$C10*CHOOSE('Детальный расчет'!U$3,'Исходные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33983.739837398374</v>
      </c>
      <c r="V24" s="37">
        <f>V$7*V$8*'Исходные данные'!$C10*CHOOSE('Детальный расчет'!V$3,'Исходные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16991.869918699187</v>
      </c>
      <c r="W24" s="37">
        <f>W$7*W$8*'Исходные данные'!$C10*CHOOSE('Детальный расчет'!W$3,'Исходные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8495.9349593495936</v>
      </c>
      <c r="X24" s="37">
        <f>X$7*X$8*'Исходные данные'!$C10*CHOOSE('Детальный расчет'!X$3,'Исходные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Y24" s="37">
        <f>Y$7*Y$8*'Исходные данные'!$C10*CHOOSE('Детальный расчет'!Y$3,'Исходные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Z24" s="37">
        <f>Z$7*Z$8*'Исходные данные'!$C10*CHOOSE('Детальный расчет'!Z$3,'Исходные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A24" s="37">
        <f>AA$7*AA$8*'Исходные данные'!$C10*CHOOSE('Детальный расчет'!AA$3,'Исходные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B24" s="37">
        <f>AB$7*AB$8*'Исходные данные'!$C10*CHOOSE('Детальный расчет'!AB$3,'Исходные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C24" s="56">
        <f t="shared" si="26"/>
        <v>152926.82926829267</v>
      </c>
      <c r="AD24" s="56">
        <f t="shared" si="27"/>
        <v>12743.902439024389</v>
      </c>
      <c r="AE24" s="37">
        <f>AE$7*AE$8*'Исходные данные'!$C10*CHOOSE('Детальный расчет'!AE$3,'Исходные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F24" s="37">
        <f>AF$7*AF$8*'Исходные данные'!$C10*CHOOSE('Детальный расчет'!AF$3,'Исходные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G24" s="37">
        <f>AG$7*AG$8*'Исходные данные'!$C10*CHOOSE('Детальный расчет'!AG$3,'Исходные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42479.674796747968</v>
      </c>
      <c r="AH24" s="37">
        <f>AH$7*AH$8*'Исходные данные'!$C10*CHOOSE('Детальный расчет'!AH$3,'Исходные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AI24" s="37">
        <f>AI$7*AI$8*'Исходные данные'!$C10*CHOOSE('Детальный расчет'!AI$3,'Исходные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33983.739837398374</v>
      </c>
      <c r="AJ24" s="37">
        <f>AJ$7*AJ$8*'Исходные данные'!$C10*CHOOSE('Детальный расчет'!AJ$3,'Исходные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16991.869918699187</v>
      </c>
      <c r="AK24" s="37">
        <f>AK$7*AK$8*'Исходные данные'!$C10*CHOOSE('Детальный расчет'!AK$3,'Исходные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8495.9349593495936</v>
      </c>
      <c r="AL24" s="37">
        <f>AL$7*AL$8*'Исходные данные'!$C10*CHOOSE('Детальный расчет'!AL$3,'Исходные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25487.804878048781</v>
      </c>
      <c r="AM24" s="37">
        <f>AM$7*AM$8*'Исходные данные'!$C10*CHOOSE('Детальный расчет'!AM$3,'Исходные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N24" s="37">
        <f>AN$7*AN$8*'Исходные данные'!$C10*CHOOSE('Детальный расчет'!AN$3,'Исходные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O24" s="37">
        <f>AO$7*AO$8*'Исходные данные'!$C10*CHOOSE('Детальный расчет'!AO$3,'Исходные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P24" s="37">
        <f>AP$7*AP$8*'Исходные данные'!$C10*CHOOSE('Детальный расчет'!AP$3,'Исходные данные'!$C21,'Исходные данные'!$D21,'Исходные данные'!$E21,'Исходные данные'!$F21,'Исходные данные'!$G21,'Исходные данные'!$H21,'Исходные данные'!$I21,'Исходные данные'!$J21,'Исходные данные'!$K21,'Исходные данные'!$L21,'Исходные данные'!$M21,'Исходные данные'!$N21)/(1+'Исходные данные'!$F10)</f>
        <v>0</v>
      </c>
      <c r="AQ24" s="56">
        <f t="shared" si="28"/>
        <v>152926.82926829267</v>
      </c>
      <c r="AR24" s="56">
        <f t="shared" si="29"/>
        <v>12743.902439024389</v>
      </c>
      <c r="AS24" s="129">
        <f t="shared" si="30"/>
        <v>458780.48780487804</v>
      </c>
      <c r="AT24" s="38"/>
    </row>
    <row r="25" spans="1:46" s="36" customFormat="1" ht="10.5" x14ac:dyDescent="0.35">
      <c r="A25" s="64" t="str">
        <f t="shared" si="23"/>
        <v>Доп. оборудование для теплиц</v>
      </c>
      <c r="B25" s="22" t="str">
        <f>CHOOSE('Исходные данные'!$R$2,'Исходные данные'!$S$2,'Исходные данные'!$S$3,'Исходные данные'!$S$4,'Исходные данные'!$S$5)</f>
        <v>RUB</v>
      </c>
      <c r="C25" s="34">
        <f>C$7*C$8*'Исходные данные'!$C11*CHOOSE('Детальный расчет'!C$3,'Исходные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D25" s="34">
        <f>D$7*D$8*'Исходные данные'!$C11*CHOOSE('Детальный расчет'!D$3,'Исходные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E25" s="34">
        <f>E$7*E$8*'Исходные данные'!$C11*CHOOSE('Детальный расчет'!E$3,'Исходные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12500</v>
      </c>
      <c r="F25" s="34">
        <f>F$7*F$8*'Исходные данные'!$C11*CHOOSE('Детальный расчет'!F$3,'Исходные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G25" s="34">
        <f>G$7*G$8*'Исходные данные'!$C11*CHOOSE('Детальный расчет'!G$3,'Исходные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H25" s="34">
        <f>H$7*H$8*'Исходные данные'!$C11*CHOOSE('Детальный расчет'!H$3,'Исходные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I25" s="34">
        <f>I$7*I$8*'Исходные данные'!$C11*CHOOSE('Детальный расчет'!I$3,'Исходные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J25" s="34">
        <f>J$7*J$8*'Исходные данные'!$C11*CHOOSE('Детальный расчет'!J$3,'Исходные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5000</v>
      </c>
      <c r="K25" s="34">
        <f>K$7*K$8*'Исходные данные'!$C11*CHOOSE('Детальный расчет'!K$3,'Исходные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L25" s="34">
        <f>L$7*L$8*'Исходные данные'!$C11*CHOOSE('Детальный расчет'!L$3,'Исходные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M25" s="34">
        <f>M$7*M$8*'Исходные данные'!$C11*CHOOSE('Детальный расчет'!M$3,'Исходные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N25" s="34">
        <f>N$7*N$8*'Исходные данные'!$C11*CHOOSE('Детальный расчет'!N$3,'Исходные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O25" s="122">
        <f t="shared" si="24"/>
        <v>45000</v>
      </c>
      <c r="P25" s="122">
        <f t="shared" si="25"/>
        <v>3750</v>
      </c>
      <c r="Q25" s="34">
        <f>Q$7*Q$8*'Исходные данные'!$C11*CHOOSE('Детальный расчет'!Q$3,'Исходные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R25" s="34">
        <f>R$7*R$8*'Исходные данные'!$C11*CHOOSE('Детальный расчет'!R$3,'Исходные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S25" s="34">
        <f>S$7*S$8*'Исходные данные'!$C11*CHOOSE('Детальный расчет'!S$3,'Исходные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12500</v>
      </c>
      <c r="T25" s="34">
        <f>T$7*T$8*'Исходные данные'!$C11*CHOOSE('Детальный расчет'!T$3,'Исходные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U25" s="34">
        <f>U$7*U$8*'Исходные данные'!$C11*CHOOSE('Детальный расчет'!U$3,'Исходные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V25" s="34">
        <f>V$7*V$8*'Исходные данные'!$C11*CHOOSE('Детальный расчет'!V$3,'Исходные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W25" s="34">
        <f>W$7*W$8*'Исходные данные'!$C11*CHOOSE('Детальный расчет'!W$3,'Исходные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X25" s="34">
        <f>X$7*X$8*'Исходные данные'!$C11*CHOOSE('Детальный расчет'!X$3,'Исходные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5000</v>
      </c>
      <c r="Y25" s="34">
        <f>Y$7*Y$8*'Исходные данные'!$C11*CHOOSE('Детальный расчет'!Y$3,'Исходные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Z25" s="34">
        <f>Z$7*Z$8*'Исходные данные'!$C11*CHOOSE('Детальный расчет'!Z$3,'Исходные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A25" s="34">
        <f>AA$7*AA$8*'Исходные данные'!$C11*CHOOSE('Детальный расчет'!AA$3,'Исходные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AB25" s="34">
        <f>AB$7*AB$8*'Исходные данные'!$C11*CHOOSE('Детальный расчет'!AB$3,'Исходные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AC25" s="122">
        <f t="shared" si="26"/>
        <v>45000</v>
      </c>
      <c r="AD25" s="122">
        <f t="shared" si="27"/>
        <v>3750</v>
      </c>
      <c r="AE25" s="34">
        <f>AE$7*AE$8*'Исходные данные'!$C11*CHOOSE('Детальный расчет'!AE$3,'Исходные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AF25" s="34">
        <f>AF$7*AF$8*'Исходные данные'!$C11*CHOOSE('Детальный расчет'!AF$3,'Исходные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G25" s="34">
        <f>AG$7*AG$8*'Исходные данные'!$C11*CHOOSE('Детальный расчет'!AG$3,'Исходные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12500</v>
      </c>
      <c r="AH25" s="34">
        <f>AH$7*AH$8*'Исходные данные'!$C11*CHOOSE('Детальный расчет'!AH$3,'Исходные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AI25" s="34">
        <f>AI$7*AI$8*'Исходные данные'!$C11*CHOOSE('Детальный расчет'!AI$3,'Исходные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7500.0000000000009</v>
      </c>
      <c r="AJ25" s="34">
        <f>AJ$7*AJ$8*'Исходные данные'!$C11*CHOOSE('Детальный расчет'!AJ$3,'Исходные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K25" s="34">
        <f>AK$7*AK$8*'Исходные данные'!$C11*CHOOSE('Детальный расчет'!AK$3,'Исходные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L25" s="34">
        <f>AL$7*AL$8*'Исходные данные'!$C11*CHOOSE('Детальный расчет'!AL$3,'Исходные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5000</v>
      </c>
      <c r="AM25" s="34">
        <f>AM$7*AM$8*'Исходные данные'!$C11*CHOOSE('Детальный расчет'!AM$3,'Исходные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N25" s="34">
        <f>AN$7*AN$8*'Исходные данные'!$C11*CHOOSE('Детальный расчет'!AN$3,'Исходные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2500</v>
      </c>
      <c r="AO25" s="34">
        <f>AO$7*AO$8*'Исходные данные'!$C11*CHOOSE('Детальный расчет'!AO$3,'Исходные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AP25" s="34">
        <f>AP$7*AP$8*'Исходные данные'!$C11*CHOOSE('Детальный расчет'!AP$3,'Исходные данные'!$C22,'Исходные данные'!$D22,'Исходные данные'!$E22,'Исходные данные'!$F22,'Исходные данные'!$G22,'Исходные данные'!$H22,'Исходные данные'!$I22,'Исходные данные'!$J22,'Исходные данные'!$K22,'Исходные данные'!$L22,'Исходные данные'!$M22,'Исходные данные'!$N22)/(1+'Исходные данные'!$F11)</f>
        <v>0</v>
      </c>
      <c r="AQ25" s="122">
        <f t="shared" si="28"/>
        <v>45000</v>
      </c>
      <c r="AR25" s="122">
        <f t="shared" si="29"/>
        <v>3750</v>
      </c>
      <c r="AS25" s="129">
        <f t="shared" si="30"/>
        <v>135000</v>
      </c>
      <c r="AT25" s="35"/>
    </row>
    <row r="26" spans="1:46" s="39" customFormat="1" ht="10.5" x14ac:dyDescent="0.35">
      <c r="A26" s="24" t="str">
        <f t="shared" si="23"/>
        <v>Монтаж</v>
      </c>
      <c r="B26" s="25" t="str">
        <f>CHOOSE('Исходные данные'!$R$2,'Исходные данные'!$S$2,'Исходные данные'!$S$3,'Исходные данные'!$S$4,'Исходные данные'!$S$5)</f>
        <v>RUB</v>
      </c>
      <c r="C26" s="37">
        <f>C$7*C$8*'Исходные данные'!$C12*CHOOSE('Детальный расчет'!C$3,'Исходные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D26" s="37">
        <f>D$7*D$8*'Исходные данные'!$C12*CHOOSE('Детальный расчет'!D$3,'Исходные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E26" s="37">
        <f>E$7*E$8*'Исходные данные'!$C12*CHOOSE('Детальный расчет'!E$3,'Исходные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F26" s="37">
        <f>F$7*F$8*'Исходные данные'!$C12*CHOOSE('Детальный расчет'!F$3,'Исходные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G26" s="37">
        <f>G$7*G$8*'Исходные данные'!$C12*CHOOSE('Детальный расчет'!G$3,'Исходные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H26" s="37">
        <f>H$7*H$8*'Исходные данные'!$C12*CHOOSE('Детальный расчет'!H$3,'Исходные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I26" s="37">
        <f>I$7*I$8*'Исходные данные'!$C12*CHOOSE('Детальный расчет'!I$3,'Исходные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J26" s="37">
        <f>J$7*J$8*'Исходные данные'!$C12*CHOOSE('Детальный расчет'!J$3,'Исходные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K26" s="37">
        <f>K$7*K$8*'Исходные данные'!$C12*CHOOSE('Детальный расчет'!K$3,'Исходные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20000</v>
      </c>
      <c r="L26" s="37">
        <f>L$7*L$8*'Исходные данные'!$C12*CHOOSE('Детальный расчет'!L$3,'Исходные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M26" s="37">
        <f>M$7*M$8*'Исходные данные'!$C12*CHOOSE('Детальный расчет'!M$3,'Исходные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N26" s="37">
        <f>N$7*N$8*'Исходные данные'!$C12*CHOOSE('Детальный расчет'!N$3,'Исходные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O26" s="56">
        <f t="shared" si="24"/>
        <v>252000</v>
      </c>
      <c r="P26" s="56">
        <f t="shared" si="25"/>
        <v>21000</v>
      </c>
      <c r="Q26" s="37">
        <f>Q$7*Q$8*'Исходные данные'!$C12*CHOOSE('Детальный расчет'!Q$3,'Исходные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R26" s="37">
        <f>R$7*R$8*'Исходные данные'!$C12*CHOOSE('Детальный расчет'!R$3,'Исходные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S26" s="37">
        <f>S$7*S$8*'Исходные данные'!$C12*CHOOSE('Детальный расчет'!S$3,'Исходные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T26" s="37">
        <f>T$7*T$8*'Исходные данные'!$C12*CHOOSE('Детальный расчет'!T$3,'Исходные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U26" s="37">
        <f>U$7*U$8*'Исходные данные'!$C12*CHOOSE('Детальный расчет'!U$3,'Исходные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V26" s="37">
        <f>V$7*V$8*'Исходные данные'!$C12*CHOOSE('Детальный расчет'!V$3,'Исходные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W26" s="37">
        <f>W$7*W$8*'Исходные данные'!$C12*CHOOSE('Детальный расчет'!W$3,'Исходные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X26" s="37">
        <f>X$7*X$8*'Исходные данные'!$C12*CHOOSE('Детальный расчет'!X$3,'Исходные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Y26" s="37">
        <f>Y$7*Y$8*'Исходные данные'!$C12*CHOOSE('Детальный расчет'!Y$3,'Исходные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20000</v>
      </c>
      <c r="Z26" s="37">
        <f>Z$7*Z$8*'Исходные данные'!$C12*CHOOSE('Детальный расчет'!Z$3,'Исходные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A26" s="37">
        <f>AA$7*AA$8*'Исходные данные'!$C12*CHOOSE('Детальный расчет'!AA$3,'Исходные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B26" s="37">
        <f>AB$7*AB$8*'Исходные данные'!$C12*CHOOSE('Детальный расчет'!AB$3,'Исходные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C26" s="56">
        <f t="shared" si="26"/>
        <v>252000</v>
      </c>
      <c r="AD26" s="56">
        <f t="shared" si="27"/>
        <v>21000</v>
      </c>
      <c r="AE26" s="37">
        <f>AE$7*AE$8*'Исходные данные'!$C12*CHOOSE('Детальный расчет'!AE$3,'Исходные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F26" s="37">
        <f>AF$7*AF$8*'Исходные данные'!$C12*CHOOSE('Детальный расчет'!AF$3,'Исходные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G26" s="37">
        <f>AG$7*AG$8*'Исходные данные'!$C12*CHOOSE('Детальный расчет'!AG$3,'Исходные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AH26" s="37">
        <f>AH$7*AH$8*'Исходные данные'!$C12*CHOOSE('Детальный расчет'!AH$3,'Исходные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60000</v>
      </c>
      <c r="AI26" s="37">
        <f>AI$7*AI$8*'Исходные данные'!$C12*CHOOSE('Детальный расчет'!AI$3,'Исходные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AJ26" s="37">
        <f>AJ$7*AJ$8*'Исходные данные'!$C12*CHOOSE('Детальный расчет'!AJ$3,'Исходные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AK26" s="37">
        <f>AK$7*AK$8*'Исходные данные'!$C12*CHOOSE('Детальный расчет'!AK$3,'Исходные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16000</v>
      </c>
      <c r="AL26" s="37">
        <f>AL$7*AL$8*'Исходные данные'!$C12*CHOOSE('Детальный расчет'!AL$3,'Исходные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40000</v>
      </c>
      <c r="AM26" s="37">
        <f>AM$7*AM$8*'Исходные данные'!$C12*CHOOSE('Детальный расчет'!AM$3,'Исходные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20000</v>
      </c>
      <c r="AN26" s="37">
        <f>AN$7*AN$8*'Исходные данные'!$C12*CHOOSE('Детальный расчет'!AN$3,'Исходные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O26" s="37">
        <f>AO$7*AO$8*'Исходные данные'!$C12*CHOOSE('Детальный расчет'!AO$3,'Исходные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P26" s="37">
        <f>AP$7*AP$8*'Исходные данные'!$C12*CHOOSE('Детальный расчет'!AP$3,'Исходные данные'!$C23,'Исходные данные'!$D23,'Исходные данные'!$E23,'Исходные данные'!$F23,'Исходные данные'!$G23,'Исходные данные'!$H23,'Исходные данные'!$I23,'Исходные данные'!$J23,'Исходные данные'!$K23,'Исходные данные'!$L23,'Исходные данные'!$M23,'Исходные данные'!$N23)/(1+'Исходные данные'!$F12)</f>
        <v>0</v>
      </c>
      <c r="AQ26" s="56">
        <f t="shared" si="28"/>
        <v>252000</v>
      </c>
      <c r="AR26" s="56">
        <f t="shared" si="29"/>
        <v>21000</v>
      </c>
      <c r="AS26" s="129">
        <f t="shared" si="30"/>
        <v>756000</v>
      </c>
      <c r="AT26" s="38"/>
    </row>
    <row r="27" spans="1:46" s="36" customFormat="1" ht="10.5" x14ac:dyDescent="0.35">
      <c r="A27" s="64" t="str">
        <f t="shared" si="23"/>
        <v>Гроутенты</v>
      </c>
      <c r="B27" s="22" t="str">
        <f>CHOOSE('Исходные данные'!$R$2,'Исходные данные'!$S$2,'Исходные данные'!$S$3,'Исходные данные'!$S$4,'Исходные данные'!$S$5)</f>
        <v>RUB</v>
      </c>
      <c r="C27" s="34">
        <f>C$7*C$8*'Исходные данные'!$C13*CHOOSE('Детальный расчет'!C$3,'Исходные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D27" s="34">
        <f>D$7*D$8*'Исходные данные'!$C13*CHOOSE('Детальный расчет'!D$3,'Исходные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E27" s="34">
        <f>E$7*E$8*'Исходные данные'!$C13*CHOOSE('Детальный расчет'!E$3,'Исходные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F27" s="34">
        <f>F$7*F$8*'Исходные данные'!$C13*CHOOSE('Детальный расчет'!F$3,'Исходные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G27" s="34">
        <f>G$7*G$8*'Исходные данные'!$C13*CHOOSE('Детальный расчет'!G$3,'Исходные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H27" s="34">
        <f>H$7*H$8*'Исходные данные'!$C13*CHOOSE('Детальный расчет'!H$3,'Исходные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I27" s="34">
        <f>I$7*I$8*'Исходные данные'!$C13*CHOOSE('Детальный расчет'!I$3,'Исходные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J27" s="34">
        <f>J$7*J$8*'Исходные данные'!$C13*CHOOSE('Детальный расчет'!J$3,'Исходные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K27" s="34">
        <f>K$7*K$8*'Исходные данные'!$C13*CHOOSE('Детальный расчет'!K$3,'Исходные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L27" s="34">
        <f>L$7*L$8*'Исходные данные'!$C13*CHOOSE('Детальный расчет'!L$3,'Исходные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M27" s="34">
        <f>M$7*M$8*'Исходные данные'!$C13*CHOOSE('Детальный расчет'!M$3,'Исходные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N27" s="34">
        <f>N$7*N$8*'Исходные данные'!$C13*CHOOSE('Детальный расчет'!N$3,'Исходные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O27" s="122">
        <f t="shared" si="24"/>
        <v>0</v>
      </c>
      <c r="P27" s="122">
        <f t="shared" si="25"/>
        <v>0</v>
      </c>
      <c r="Q27" s="34">
        <f>Q$7*Q$8*'Исходные данные'!$C13*CHOOSE('Детальный расчет'!Q$3,'Исходные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R27" s="34">
        <f>R$7*R$8*'Исходные данные'!$C13*CHOOSE('Детальный расчет'!R$3,'Исходные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S27" s="34">
        <f>S$7*S$8*'Исходные данные'!$C13*CHOOSE('Детальный расчет'!S$3,'Исходные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T27" s="34">
        <f>T$7*T$8*'Исходные данные'!$C13*CHOOSE('Детальный расчет'!T$3,'Исходные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U27" s="34">
        <f>U$7*U$8*'Исходные данные'!$C13*CHOOSE('Детальный расчет'!U$3,'Исходные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V27" s="34">
        <f>V$7*V$8*'Исходные данные'!$C13*CHOOSE('Детальный расчет'!V$3,'Исходные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W27" s="34">
        <f>W$7*W$8*'Исходные данные'!$C13*CHOOSE('Детальный расчет'!W$3,'Исходные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X27" s="34">
        <f>X$7*X$8*'Исходные данные'!$C13*CHOOSE('Детальный расчет'!X$3,'Исходные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Y27" s="34">
        <f>Y$7*Y$8*'Исходные данные'!$C13*CHOOSE('Детальный расчет'!Y$3,'Исходные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Z27" s="34">
        <f>Z$7*Z$8*'Исходные данные'!$C13*CHOOSE('Детальный расчет'!Z$3,'Исходные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A27" s="34">
        <f>AA$7*AA$8*'Исходные данные'!$C13*CHOOSE('Детальный расчет'!AA$3,'Исходные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B27" s="34">
        <f>AB$7*AB$8*'Исходные данные'!$C13*CHOOSE('Детальный расчет'!AB$3,'Исходные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C27" s="122">
        <f t="shared" si="26"/>
        <v>0</v>
      </c>
      <c r="AD27" s="122">
        <f t="shared" si="27"/>
        <v>0</v>
      </c>
      <c r="AE27" s="34">
        <f>AE$7*AE$8*'Исходные данные'!$C13*CHOOSE('Детальный расчет'!AE$3,'Исходные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F27" s="34">
        <f>AF$7*AF$8*'Исходные данные'!$C13*CHOOSE('Детальный расчет'!AF$3,'Исходные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G27" s="34">
        <f>AG$7*AG$8*'Исходные данные'!$C13*CHOOSE('Детальный расчет'!AG$3,'Исходные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H27" s="34">
        <f>AH$7*AH$8*'Исходные данные'!$C13*CHOOSE('Детальный расчет'!AH$3,'Исходные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I27" s="34">
        <f>AI$7*AI$8*'Исходные данные'!$C13*CHOOSE('Детальный расчет'!AI$3,'Исходные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J27" s="34">
        <f>AJ$7*AJ$8*'Исходные данные'!$C13*CHOOSE('Детальный расчет'!AJ$3,'Исходные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K27" s="34">
        <f>AK$7*AK$8*'Исходные данные'!$C13*CHOOSE('Детальный расчет'!AK$3,'Исходные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L27" s="34">
        <f>AL$7*AL$8*'Исходные данные'!$C13*CHOOSE('Детальный расчет'!AL$3,'Исходные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M27" s="34">
        <f>AM$7*AM$8*'Исходные данные'!$C13*CHOOSE('Детальный расчет'!AM$3,'Исходные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N27" s="34">
        <f>AN$7*AN$8*'Исходные данные'!$C13*CHOOSE('Детальный расчет'!AN$3,'Исходные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O27" s="34">
        <f>AO$7*AO$8*'Исходные данные'!$C13*CHOOSE('Детальный расчет'!AO$3,'Исходные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P27" s="34">
        <f>AP$7*AP$8*'Исходные данные'!$C13*CHOOSE('Детальный расчет'!AP$3,'Исходные данные'!$C24,'Исходные данные'!$D24,'Исходные данные'!$E24,'Исходные данные'!$F24,'Исходные данные'!$G24,'Исходные данные'!$H24,'Исходные данные'!$I24,'Исходные данные'!$J24,'Исходные данные'!$K24,'Исходные данные'!$L24,'Исходные данные'!$M24,'Исходные данные'!$N24)/(1+'Исходные данные'!$F13)</f>
        <v>0</v>
      </c>
      <c r="AQ27" s="122">
        <f t="shared" si="28"/>
        <v>0</v>
      </c>
      <c r="AR27" s="122">
        <f t="shared" si="29"/>
        <v>0</v>
      </c>
      <c r="AS27" s="129">
        <f t="shared" si="30"/>
        <v>0</v>
      </c>
      <c r="AT27" s="35"/>
    </row>
    <row r="28" spans="1:46" s="39" customFormat="1" ht="10.5" x14ac:dyDescent="0.35">
      <c r="A28" s="24" t="str">
        <f t="shared" si="23"/>
        <v>Бани-бочки</v>
      </c>
      <c r="B28" s="25" t="str">
        <f>CHOOSE('Исходные данные'!$R$2,'Исходные данные'!$S$2,'Исходные данные'!$S$3,'Исходные данные'!$S$4,'Исходные данные'!$S$5)</f>
        <v>RUB</v>
      </c>
      <c r="C28" s="37">
        <f>C$7*C$8*'Исходные данные'!$C14*CHOOSE('Детальный расчет'!C$3,'Исходные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D28" s="37">
        <f>D$7*D$8*'Исходные данные'!$C14*CHOOSE('Детальный расчет'!D$3,'Исходные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E28" s="37">
        <f>E$7*E$8*'Исходные данные'!$C14*CHOOSE('Детальный расчет'!E$3,'Исходные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F28" s="37">
        <f>F$7*F$8*'Исходные данные'!$C14*CHOOSE('Детальный расчет'!F$3,'Исходные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G28" s="37">
        <f>G$7*G$8*'Исходные данные'!$C14*CHOOSE('Детальный расчет'!G$3,'Исходные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H28" s="37">
        <f>H$7*H$8*'Исходные данные'!$C14*CHOOSE('Детальный расчет'!H$3,'Исходные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I28" s="37">
        <f>I$7*I$8*'Исходные данные'!$C14*CHOOSE('Детальный расчет'!I$3,'Исходные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J28" s="37">
        <f>J$7*J$8*'Исходные данные'!$C14*CHOOSE('Детальный расчет'!J$3,'Исходные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K28" s="37">
        <f>K$7*K$8*'Исходные данные'!$C14*CHOOSE('Детальный расчет'!K$3,'Исходные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L28" s="37">
        <f>L$7*L$8*'Исходные данные'!$C14*CHOOSE('Детальный расчет'!L$3,'Исходные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M28" s="37">
        <f>M$7*M$8*'Исходные данные'!$C14*CHOOSE('Детальный расчет'!M$3,'Исходные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N28" s="37">
        <f>N$7*N$8*'Исходные данные'!$C14*CHOOSE('Детальный расчет'!N$3,'Исходные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O28" s="56">
        <f t="shared" si="24"/>
        <v>0</v>
      </c>
      <c r="P28" s="56">
        <f t="shared" si="25"/>
        <v>0</v>
      </c>
      <c r="Q28" s="37">
        <f>Q$7*Q$8*'Исходные данные'!$C14*CHOOSE('Детальный расчет'!Q$3,'Исходные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R28" s="37">
        <f>R$7*R$8*'Исходные данные'!$C14*CHOOSE('Детальный расчет'!R$3,'Исходные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S28" s="37">
        <f>S$7*S$8*'Исходные данные'!$C14*CHOOSE('Детальный расчет'!S$3,'Исходные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T28" s="37">
        <f>T$7*T$8*'Исходные данные'!$C14*CHOOSE('Детальный расчет'!T$3,'Исходные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U28" s="37">
        <f>U$7*U$8*'Исходные данные'!$C14*CHOOSE('Детальный расчет'!U$3,'Исходные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V28" s="37">
        <f>V$7*V$8*'Исходные данные'!$C14*CHOOSE('Детальный расчет'!V$3,'Исходные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W28" s="37">
        <f>W$7*W$8*'Исходные данные'!$C14*CHOOSE('Детальный расчет'!W$3,'Исходные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X28" s="37">
        <f>X$7*X$8*'Исходные данные'!$C14*CHOOSE('Детальный расчет'!X$3,'Исходные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Y28" s="37">
        <f>Y$7*Y$8*'Исходные данные'!$C14*CHOOSE('Детальный расчет'!Y$3,'Исходные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Z28" s="37">
        <f>Z$7*Z$8*'Исходные данные'!$C14*CHOOSE('Детальный расчет'!Z$3,'Исходные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A28" s="37">
        <f>AA$7*AA$8*'Исходные данные'!$C14*CHOOSE('Детальный расчет'!AA$3,'Исходные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B28" s="37">
        <f>AB$7*AB$8*'Исходные данные'!$C14*CHOOSE('Детальный расчет'!AB$3,'Исходные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C28" s="56">
        <f t="shared" si="26"/>
        <v>0</v>
      </c>
      <c r="AD28" s="56">
        <f t="shared" si="27"/>
        <v>0</v>
      </c>
      <c r="AE28" s="37">
        <f>AE$7*AE$8*'Исходные данные'!$C14*CHOOSE('Детальный расчет'!AE$3,'Исходные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F28" s="37">
        <f>AF$7*AF$8*'Исходные данные'!$C14*CHOOSE('Детальный расчет'!AF$3,'Исходные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G28" s="37">
        <f>AG$7*AG$8*'Исходные данные'!$C14*CHOOSE('Детальный расчет'!AG$3,'Исходные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H28" s="37">
        <f>AH$7*AH$8*'Исходные данные'!$C14*CHOOSE('Детальный расчет'!AH$3,'Исходные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I28" s="37">
        <f>AI$7*AI$8*'Исходные данные'!$C14*CHOOSE('Детальный расчет'!AI$3,'Исходные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J28" s="37">
        <f>AJ$7*AJ$8*'Исходные данные'!$C14*CHOOSE('Детальный расчет'!AJ$3,'Исходные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K28" s="37">
        <f>AK$7*AK$8*'Исходные данные'!$C14*CHOOSE('Детальный расчет'!AK$3,'Исходные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L28" s="37">
        <f>AL$7*AL$8*'Исходные данные'!$C14*CHOOSE('Детальный расчет'!AL$3,'Исходные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M28" s="37">
        <f>AM$7*AM$8*'Исходные данные'!$C14*CHOOSE('Детальный расчет'!AM$3,'Исходные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N28" s="37">
        <f>AN$7*AN$8*'Исходные данные'!$C14*CHOOSE('Детальный расчет'!AN$3,'Исходные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O28" s="37">
        <f>AO$7*AO$8*'Исходные данные'!$C14*CHOOSE('Детальный расчет'!AO$3,'Исходные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P28" s="37">
        <f>AP$7*AP$8*'Исходные данные'!$C14*CHOOSE('Детальный расчет'!AP$3,'Исходные данные'!$C25,'Исходные данные'!$D25,'Исходные данные'!$E25,'Исходные данные'!$F25,'Исходные данные'!$G25,'Исходные данные'!$H25,'Исходные данные'!$I25,'Исходные данные'!$J25,'Исходные данные'!$K25,'Исходные данные'!$L25,'Исходные данные'!$M25,'Исходные данные'!$N25)/(1+'Исходные данные'!$F14)</f>
        <v>0</v>
      </c>
      <c r="AQ28" s="56">
        <f t="shared" si="28"/>
        <v>0</v>
      </c>
      <c r="AR28" s="56">
        <f t="shared" si="29"/>
        <v>0</v>
      </c>
      <c r="AS28" s="129">
        <f t="shared" si="30"/>
        <v>0</v>
      </c>
      <c r="AT28" s="38"/>
    </row>
    <row r="29" spans="1:46" s="28" customFormat="1" ht="11.25" x14ac:dyDescent="0.2">
      <c r="A29" s="29" t="s">
        <v>3</v>
      </c>
      <c r="B29" s="30" t="str">
        <f>CHOOSE('Исходные данные'!$R$2,'Исходные данные'!$S$2,'Исходные данные'!$S$3,'Исходные данные'!$S$4,'Исходные данные'!$S$5)</f>
        <v>RUB</v>
      </c>
      <c r="C29" s="107">
        <f t="shared" ref="C29:AS29" si="31">SUM(C23:C28)</f>
        <v>109848.48484848485</v>
      </c>
      <c r="D29" s="107">
        <f t="shared" si="31"/>
        <v>222196.9696969697</v>
      </c>
      <c r="E29" s="107">
        <f t="shared" si="31"/>
        <v>664222.09903917217</v>
      </c>
      <c r="F29" s="107">
        <f t="shared" si="31"/>
        <v>422533.2594235033</v>
      </c>
      <c r="G29" s="107">
        <f t="shared" si="31"/>
        <v>301180.70953436807</v>
      </c>
      <c r="H29" s="107">
        <f t="shared" si="31"/>
        <v>145340.35476718404</v>
      </c>
      <c r="I29" s="107">
        <f t="shared" si="31"/>
        <v>136844.41980783443</v>
      </c>
      <c r="J29" s="107">
        <f t="shared" si="31"/>
        <v>400033.2594235033</v>
      </c>
      <c r="K29" s="107">
        <f t="shared" si="31"/>
        <v>242196.9696969697</v>
      </c>
      <c r="L29" s="107">
        <f t="shared" si="31"/>
        <v>112348.48484848485</v>
      </c>
      <c r="M29" s="107">
        <f t="shared" si="31"/>
        <v>65909.090909090912</v>
      </c>
      <c r="N29" s="107">
        <f t="shared" si="31"/>
        <v>65909.090909090912</v>
      </c>
      <c r="O29" s="107">
        <f t="shared" si="31"/>
        <v>2888563.1929046558</v>
      </c>
      <c r="P29" s="107">
        <f t="shared" si="31"/>
        <v>240713.59940872132</v>
      </c>
      <c r="Q29" s="107">
        <f t="shared" si="31"/>
        <v>109848.48484848485</v>
      </c>
      <c r="R29" s="107">
        <f t="shared" si="31"/>
        <v>222196.9696969697</v>
      </c>
      <c r="S29" s="107">
        <f t="shared" si="31"/>
        <v>664222.09903917217</v>
      </c>
      <c r="T29" s="107">
        <f t="shared" si="31"/>
        <v>422533.2594235033</v>
      </c>
      <c r="U29" s="107">
        <f t="shared" si="31"/>
        <v>301180.70953436807</v>
      </c>
      <c r="V29" s="107">
        <f t="shared" si="31"/>
        <v>145340.35476718404</v>
      </c>
      <c r="W29" s="107">
        <f t="shared" si="31"/>
        <v>136844.41980783443</v>
      </c>
      <c r="X29" s="107">
        <f t="shared" si="31"/>
        <v>400033.2594235033</v>
      </c>
      <c r="Y29" s="107">
        <f t="shared" si="31"/>
        <v>242196.9696969697</v>
      </c>
      <c r="Z29" s="107">
        <f t="shared" si="31"/>
        <v>112348.48484848485</v>
      </c>
      <c r="AA29" s="107">
        <f t="shared" si="31"/>
        <v>65909.090909090912</v>
      </c>
      <c r="AB29" s="107">
        <f t="shared" si="31"/>
        <v>65909.090909090912</v>
      </c>
      <c r="AC29" s="107">
        <f t="shared" si="31"/>
        <v>2888563.1929046558</v>
      </c>
      <c r="AD29" s="107">
        <f t="shared" si="31"/>
        <v>240713.59940872132</v>
      </c>
      <c r="AE29" s="107">
        <f t="shared" si="31"/>
        <v>109848.48484848485</v>
      </c>
      <c r="AF29" s="107">
        <f t="shared" si="31"/>
        <v>222196.9696969697</v>
      </c>
      <c r="AG29" s="107">
        <f t="shared" si="31"/>
        <v>664222.09903917217</v>
      </c>
      <c r="AH29" s="107">
        <f t="shared" si="31"/>
        <v>422533.2594235033</v>
      </c>
      <c r="AI29" s="107">
        <f t="shared" si="31"/>
        <v>301180.70953436807</v>
      </c>
      <c r="AJ29" s="107">
        <f t="shared" si="31"/>
        <v>145340.35476718404</v>
      </c>
      <c r="AK29" s="107">
        <f t="shared" si="31"/>
        <v>136844.41980783443</v>
      </c>
      <c r="AL29" s="107">
        <f t="shared" si="31"/>
        <v>400033.2594235033</v>
      </c>
      <c r="AM29" s="107">
        <f t="shared" si="31"/>
        <v>242196.9696969697</v>
      </c>
      <c r="AN29" s="107">
        <f t="shared" si="31"/>
        <v>112348.48484848485</v>
      </c>
      <c r="AO29" s="107">
        <f t="shared" si="31"/>
        <v>65909.090909090912</v>
      </c>
      <c r="AP29" s="107">
        <f t="shared" si="31"/>
        <v>65909.090909090912</v>
      </c>
      <c r="AQ29" s="107">
        <f t="shared" si="31"/>
        <v>2888563.1929046558</v>
      </c>
      <c r="AR29" s="107">
        <f t="shared" si="31"/>
        <v>240713.59940872132</v>
      </c>
      <c r="AS29" s="107">
        <f t="shared" si="31"/>
        <v>8665689.5787139684</v>
      </c>
      <c r="AT29" s="27"/>
    </row>
    <row r="30" spans="1:46" s="28" customFormat="1" ht="10.9" thickBot="1" x14ac:dyDescent="0.4">
      <c r="A30" s="40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24"/>
      <c r="P30" s="124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124"/>
      <c r="AD30" s="124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124"/>
      <c r="AR30" s="124"/>
      <c r="AS30" s="23"/>
      <c r="AT30" s="27"/>
    </row>
    <row r="31" spans="1:46" s="13" customFormat="1" ht="24" thickTop="1" thickBot="1" x14ac:dyDescent="0.25">
      <c r="A31" s="14" t="s">
        <v>98</v>
      </c>
      <c r="B31" s="15"/>
      <c r="C31" s="19" t="str">
        <f t="shared" ref="C31:N31" si="32">C$6</f>
        <v>февраль</v>
      </c>
      <c r="D31" s="19" t="str">
        <f t="shared" si="32"/>
        <v>март</v>
      </c>
      <c r="E31" s="19" t="str">
        <f t="shared" si="32"/>
        <v>апрель</v>
      </c>
      <c r="F31" s="19" t="str">
        <f t="shared" si="32"/>
        <v>май</v>
      </c>
      <c r="G31" s="19" t="str">
        <f t="shared" si="32"/>
        <v>июнь</v>
      </c>
      <c r="H31" s="19" t="str">
        <f t="shared" si="32"/>
        <v>июль</v>
      </c>
      <c r="I31" s="19" t="str">
        <f t="shared" si="32"/>
        <v>август</v>
      </c>
      <c r="J31" s="19" t="str">
        <f t="shared" si="32"/>
        <v>сентябрь</v>
      </c>
      <c r="K31" s="19" t="str">
        <f t="shared" si="32"/>
        <v>октябрь</v>
      </c>
      <c r="L31" s="19" t="str">
        <f t="shared" si="32"/>
        <v>ноябрь</v>
      </c>
      <c r="M31" s="19" t="str">
        <f t="shared" si="32"/>
        <v>декабрь</v>
      </c>
      <c r="N31" s="19" t="str">
        <f t="shared" si="32"/>
        <v>январь</v>
      </c>
      <c r="O31" s="123" t="str">
        <f>O22</f>
        <v>Итого за 1-й год</v>
      </c>
      <c r="P31" s="123" t="str">
        <f>P22</f>
        <v>Среднемесячно за 1-й год</v>
      </c>
      <c r="Q31" s="19" t="str">
        <f t="shared" ref="Q31:AB31" si="33">Q$6</f>
        <v>февраль</v>
      </c>
      <c r="R31" s="19" t="str">
        <f t="shared" si="33"/>
        <v>март</v>
      </c>
      <c r="S31" s="19" t="str">
        <f t="shared" si="33"/>
        <v>апрель</v>
      </c>
      <c r="T31" s="19" t="str">
        <f t="shared" si="33"/>
        <v>май</v>
      </c>
      <c r="U31" s="19" t="str">
        <f t="shared" si="33"/>
        <v>июнь</v>
      </c>
      <c r="V31" s="19" t="str">
        <f t="shared" si="33"/>
        <v>июль</v>
      </c>
      <c r="W31" s="19" t="str">
        <f t="shared" si="33"/>
        <v>август</v>
      </c>
      <c r="X31" s="19" t="str">
        <f t="shared" si="33"/>
        <v>сентябрь</v>
      </c>
      <c r="Y31" s="19" t="str">
        <f t="shared" si="33"/>
        <v>октябрь</v>
      </c>
      <c r="Z31" s="19" t="str">
        <f t="shared" si="33"/>
        <v>ноябрь</v>
      </c>
      <c r="AA31" s="19" t="str">
        <f t="shared" si="33"/>
        <v>декабрь</v>
      </c>
      <c r="AB31" s="19" t="str">
        <f t="shared" si="33"/>
        <v>январь</v>
      </c>
      <c r="AC31" s="123" t="str">
        <f>AC22</f>
        <v>Итого за 2-й год</v>
      </c>
      <c r="AD31" s="123" t="str">
        <f>AD22</f>
        <v>Среднемесячно за 2-й год</v>
      </c>
      <c r="AE31" s="19" t="str">
        <f t="shared" ref="AE31:AP31" si="34">AE$6</f>
        <v>февраль</v>
      </c>
      <c r="AF31" s="19" t="str">
        <f t="shared" si="34"/>
        <v>март</v>
      </c>
      <c r="AG31" s="19" t="str">
        <f t="shared" si="34"/>
        <v>апрель</v>
      </c>
      <c r="AH31" s="19" t="str">
        <f t="shared" si="34"/>
        <v>май</v>
      </c>
      <c r="AI31" s="19" t="str">
        <f t="shared" si="34"/>
        <v>июнь</v>
      </c>
      <c r="AJ31" s="19" t="str">
        <f t="shared" si="34"/>
        <v>июль</v>
      </c>
      <c r="AK31" s="19" t="str">
        <f t="shared" si="34"/>
        <v>август</v>
      </c>
      <c r="AL31" s="19" t="str">
        <f t="shared" si="34"/>
        <v>сентябрь</v>
      </c>
      <c r="AM31" s="19" t="str">
        <f t="shared" si="34"/>
        <v>октябрь</v>
      </c>
      <c r="AN31" s="19" t="str">
        <f t="shared" si="34"/>
        <v>ноябрь</v>
      </c>
      <c r="AO31" s="19" t="str">
        <f t="shared" si="34"/>
        <v>декабрь</v>
      </c>
      <c r="AP31" s="19" t="str">
        <f t="shared" si="34"/>
        <v>январь</v>
      </c>
      <c r="AQ31" s="123" t="str">
        <f>AQ22</f>
        <v>Итого за 3-й год</v>
      </c>
      <c r="AR31" s="123" t="str">
        <f>AR22</f>
        <v>Среднемесячно за 3-й год</v>
      </c>
      <c r="AS31" s="132" t="str">
        <f>AS22</f>
        <v>Итого за три года</v>
      </c>
    </row>
    <row r="32" spans="1:46" s="36" customFormat="1" ht="10.5" customHeight="1" thickTop="1" x14ac:dyDescent="0.35">
      <c r="A32" s="21" t="str">
        <f>'Исходные данные'!B29</f>
        <v>Ремонт помещения</v>
      </c>
      <c r="B32" s="22" t="str">
        <f>CHOOSE('Исходные данные'!$R$2,'Исходные данные'!$S$2,'Исходные данные'!$S$3,'Исходные данные'!$S$4,'Исходные данные'!$S$5)</f>
        <v>RUB</v>
      </c>
      <c r="C32" s="34">
        <f>'Исходные данные'!$E29</f>
        <v>3000</v>
      </c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122">
        <f>SUM(C32:N32)</f>
        <v>3000</v>
      </c>
      <c r="P32" s="122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122">
        <f t="shared" ref="AC32:AC39" si="35">SUM(Q32:AB32)</f>
        <v>0</v>
      </c>
      <c r="AD32" s="122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122">
        <f t="shared" ref="AQ32:AQ39" si="36">SUM(AE32:AP32)</f>
        <v>0</v>
      </c>
      <c r="AR32" s="122"/>
      <c r="AS32" s="129">
        <f t="shared" ref="AS32:AS39" si="37">O32+AC32+AQ32</f>
        <v>3000</v>
      </c>
      <c r="AT32" s="35"/>
    </row>
    <row r="33" spans="1:46" s="39" customFormat="1" ht="10.5" x14ac:dyDescent="0.35">
      <c r="A33" s="65" t="str">
        <f>'Исходные данные'!B30</f>
        <v>Офисная мебель</v>
      </c>
      <c r="B33" s="25" t="str">
        <f>CHOOSE('Исходные данные'!$R$2,'Исходные данные'!$S$2,'Исходные данные'!$S$3,'Исходные данные'!$S$4,'Исходные данные'!$S$5)</f>
        <v>RUB</v>
      </c>
      <c r="C33" s="37">
        <f>'Исходные данные'!$E30</f>
        <v>2000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56">
        <f t="shared" ref="O33:O38" si="38">SUM(C33:N33)</f>
        <v>2000</v>
      </c>
      <c r="P33" s="56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56">
        <f t="shared" ref="AC33:AC38" si="39">SUM(Q33:AB33)</f>
        <v>0</v>
      </c>
      <c r="AD33" s="56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56">
        <f t="shared" ref="AQ33:AQ38" si="40">SUM(AE33:AP33)</f>
        <v>0</v>
      </c>
      <c r="AR33" s="56"/>
      <c r="AS33" s="129">
        <f t="shared" ref="AS33:AS38" si="41">O33+AC33+AQ33</f>
        <v>2000</v>
      </c>
      <c r="AT33" s="38"/>
    </row>
    <row r="34" spans="1:46" s="36" customFormat="1" ht="10.5" customHeight="1" x14ac:dyDescent="0.35">
      <c r="A34" s="21" t="str">
        <f>'Исходные данные'!B31</f>
        <v>Офисная техника</v>
      </c>
      <c r="B34" s="22" t="str">
        <f>CHOOSE('Исходные данные'!$R$2,'Исходные данные'!$S$2,'Исходные данные'!$S$3,'Исходные данные'!$S$4,'Исходные данные'!$S$5)</f>
        <v>RUB</v>
      </c>
      <c r="C34" s="34">
        <f>'Исходные данные'!$E31</f>
        <v>2000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122">
        <f t="shared" si="38"/>
        <v>2000</v>
      </c>
      <c r="P34" s="122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122">
        <f t="shared" si="39"/>
        <v>0</v>
      </c>
      <c r="AD34" s="122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122">
        <f t="shared" si="40"/>
        <v>0</v>
      </c>
      <c r="AR34" s="122"/>
      <c r="AS34" s="129">
        <f t="shared" si="41"/>
        <v>2000</v>
      </c>
      <c r="AT34" s="35"/>
    </row>
    <row r="35" spans="1:46" s="39" customFormat="1" ht="10.5" x14ac:dyDescent="0.35">
      <c r="A35" s="65" t="str">
        <f>'Исходные данные'!B32</f>
        <v>Компьютеры</v>
      </c>
      <c r="B35" s="25" t="str">
        <f>CHOOSE('Исходные данные'!$R$2,'Исходные данные'!$S$2,'Исходные данные'!$S$3,'Исходные данные'!$S$4,'Исходные данные'!$S$5)</f>
        <v>RUB</v>
      </c>
      <c r="C35" s="37">
        <f>'Исходные данные'!$E32</f>
        <v>8000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56">
        <f t="shared" ref="O35" si="42">SUM(C35:N35)</f>
        <v>8000</v>
      </c>
      <c r="P35" s="56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56">
        <f t="shared" ref="AC35" si="43">SUM(Q35:AB35)</f>
        <v>0</v>
      </c>
      <c r="AD35" s="56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56">
        <f t="shared" ref="AQ35" si="44">SUM(AE35:AP35)</f>
        <v>0</v>
      </c>
      <c r="AR35" s="56"/>
      <c r="AS35" s="129">
        <f t="shared" ref="AS35" si="45">O35+AC35+AQ35</f>
        <v>8000</v>
      </c>
      <c r="AT35" s="38"/>
    </row>
    <row r="36" spans="1:46" s="36" customFormat="1" ht="10.5" customHeight="1" x14ac:dyDescent="0.35">
      <c r="A36" s="21" t="str">
        <f>'Исходные данные'!B33</f>
        <v>Охранно-пожарная сигнализация и видеонаблюдение</v>
      </c>
      <c r="B36" s="22" t="str">
        <f>CHOOSE('Исходные данные'!$R$2,'Исходные данные'!$S$2,'Исходные данные'!$S$3,'Исходные данные'!$S$4,'Исходные данные'!$S$5)</f>
        <v>RUB</v>
      </c>
      <c r="C36" s="34">
        <f>'Исходные данные'!$E33</f>
        <v>0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122">
        <f t="shared" ref="O36" si="46">SUM(C36:N36)</f>
        <v>0</v>
      </c>
      <c r="P36" s="122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122">
        <f t="shared" ref="AC36" si="47">SUM(Q36:AB36)</f>
        <v>0</v>
      </c>
      <c r="AD36" s="122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122">
        <f t="shared" ref="AQ36" si="48">SUM(AE36:AP36)</f>
        <v>0</v>
      </c>
      <c r="AR36" s="122"/>
      <c r="AS36" s="129">
        <f t="shared" ref="AS36" si="49">O36+AC36+AQ36</f>
        <v>0</v>
      </c>
      <c r="AT36" s="35"/>
    </row>
    <row r="37" spans="1:46" s="39" customFormat="1" ht="10.5" x14ac:dyDescent="0.35">
      <c r="A37" s="65" t="str">
        <f>'Исходные данные'!B34</f>
        <v>Вывеска и реклама</v>
      </c>
      <c r="B37" s="25" t="str">
        <f>CHOOSE('Исходные данные'!$R$2,'Исходные данные'!$S$2,'Исходные данные'!$S$3,'Исходные данные'!$S$4,'Исходные данные'!$S$5)</f>
        <v>RUB</v>
      </c>
      <c r="C37" s="37">
        <f>'Исходные данные'!$E34</f>
        <v>9000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56">
        <f t="shared" si="38"/>
        <v>9000</v>
      </c>
      <c r="P37" s="56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56">
        <f t="shared" si="39"/>
        <v>0</v>
      </c>
      <c r="AD37" s="56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56">
        <f t="shared" si="40"/>
        <v>0</v>
      </c>
      <c r="AR37" s="56"/>
      <c r="AS37" s="129">
        <f t="shared" si="41"/>
        <v>9000</v>
      </c>
      <c r="AT37" s="38"/>
    </row>
    <row r="38" spans="1:46" s="36" customFormat="1" ht="10.5" customHeight="1" x14ac:dyDescent="0.35">
      <c r="A38" s="21" t="str">
        <f>'Исходные данные'!B35</f>
        <v>Прочее</v>
      </c>
      <c r="B38" s="22" t="str">
        <f>CHOOSE('Исходные данные'!$R$2,'Исходные данные'!$S$2,'Исходные данные'!$S$3,'Исходные данные'!$S$4,'Исходные данные'!$S$5)</f>
        <v>RUB</v>
      </c>
      <c r="C38" s="34">
        <f>'Исходные данные'!$E35</f>
        <v>0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122">
        <f t="shared" si="38"/>
        <v>0</v>
      </c>
      <c r="P38" s="122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122">
        <f t="shared" si="39"/>
        <v>0</v>
      </c>
      <c r="AD38" s="122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122">
        <f t="shared" si="40"/>
        <v>0</v>
      </c>
      <c r="AR38" s="122"/>
      <c r="AS38" s="129">
        <f t="shared" si="41"/>
        <v>0</v>
      </c>
      <c r="AT38" s="35"/>
    </row>
    <row r="39" spans="1:46" s="39" customFormat="1" ht="10.5" x14ac:dyDescent="0.35">
      <c r="A39" s="65" t="str">
        <f>'Исходные данные'!B36</f>
        <v>Паушальный взнос*</v>
      </c>
      <c r="B39" s="25" t="str">
        <f>CHOOSE('Исходные данные'!$R$2,'Исходные данные'!$S$2,'Исходные данные'!$S$3,'Исходные данные'!$S$4,'Исходные данные'!$S$5)</f>
        <v>RUB</v>
      </c>
      <c r="C39" s="37">
        <f>'Исходные данные'!$E36</f>
        <v>97000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56">
        <f t="shared" ref="O39" si="50">SUM(C39:N39)</f>
        <v>97000</v>
      </c>
      <c r="P39" s="56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56">
        <f t="shared" si="35"/>
        <v>0</v>
      </c>
      <c r="AD39" s="56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56">
        <f t="shared" si="36"/>
        <v>0</v>
      </c>
      <c r="AR39" s="56"/>
      <c r="AS39" s="129">
        <f t="shared" si="37"/>
        <v>97000</v>
      </c>
      <c r="AT39" s="38"/>
    </row>
    <row r="40" spans="1:46" s="28" customFormat="1" ht="11.25" x14ac:dyDescent="0.2">
      <c r="A40" s="29" t="s">
        <v>10</v>
      </c>
      <c r="B40" s="30" t="str">
        <f>CHOOSE('Исходные данные'!$R$2,'Исходные данные'!$S$2,'Исходные данные'!$S$3,'Исходные данные'!$S$4,'Исходные данные'!$S$5)</f>
        <v>RUB</v>
      </c>
      <c r="C40" s="107">
        <f t="shared" ref="C40:O40" si="51">SUM(C32:C39)</f>
        <v>121000</v>
      </c>
      <c r="D40" s="107">
        <f t="shared" si="51"/>
        <v>0</v>
      </c>
      <c r="E40" s="107">
        <f t="shared" si="51"/>
        <v>0</v>
      </c>
      <c r="F40" s="107">
        <f t="shared" si="51"/>
        <v>0</v>
      </c>
      <c r="G40" s="107">
        <f t="shared" si="51"/>
        <v>0</v>
      </c>
      <c r="H40" s="107">
        <f t="shared" si="51"/>
        <v>0</v>
      </c>
      <c r="I40" s="107">
        <f t="shared" si="51"/>
        <v>0</v>
      </c>
      <c r="J40" s="107">
        <f t="shared" si="51"/>
        <v>0</v>
      </c>
      <c r="K40" s="107">
        <f t="shared" si="51"/>
        <v>0</v>
      </c>
      <c r="L40" s="107">
        <f t="shared" si="51"/>
        <v>0</v>
      </c>
      <c r="M40" s="107">
        <f t="shared" si="51"/>
        <v>0</v>
      </c>
      <c r="N40" s="107">
        <f t="shared" si="51"/>
        <v>0</v>
      </c>
      <c r="O40" s="107">
        <f t="shared" si="51"/>
        <v>121000</v>
      </c>
      <c r="P40" s="107"/>
      <c r="Q40" s="107">
        <f t="shared" ref="Q40:AC40" si="52">SUM(Q32:Q39)</f>
        <v>0</v>
      </c>
      <c r="R40" s="107">
        <f t="shared" si="52"/>
        <v>0</v>
      </c>
      <c r="S40" s="107">
        <f t="shared" si="52"/>
        <v>0</v>
      </c>
      <c r="T40" s="107">
        <f t="shared" si="52"/>
        <v>0</v>
      </c>
      <c r="U40" s="107">
        <f t="shared" si="52"/>
        <v>0</v>
      </c>
      <c r="V40" s="107">
        <f t="shared" si="52"/>
        <v>0</v>
      </c>
      <c r="W40" s="107">
        <f t="shared" si="52"/>
        <v>0</v>
      </c>
      <c r="X40" s="107">
        <f t="shared" si="52"/>
        <v>0</v>
      </c>
      <c r="Y40" s="107">
        <f t="shared" si="52"/>
        <v>0</v>
      </c>
      <c r="Z40" s="107">
        <f t="shared" si="52"/>
        <v>0</v>
      </c>
      <c r="AA40" s="107">
        <f t="shared" si="52"/>
        <v>0</v>
      </c>
      <c r="AB40" s="107">
        <f t="shared" si="52"/>
        <v>0</v>
      </c>
      <c r="AC40" s="107">
        <f t="shared" si="52"/>
        <v>0</v>
      </c>
      <c r="AD40" s="107"/>
      <c r="AE40" s="107">
        <f t="shared" ref="AE40:AQ40" si="53">SUM(AE32:AE39)</f>
        <v>0</v>
      </c>
      <c r="AF40" s="107">
        <f t="shared" si="53"/>
        <v>0</v>
      </c>
      <c r="AG40" s="107">
        <f t="shared" si="53"/>
        <v>0</v>
      </c>
      <c r="AH40" s="107">
        <f t="shared" si="53"/>
        <v>0</v>
      </c>
      <c r="AI40" s="107">
        <f t="shared" si="53"/>
        <v>0</v>
      </c>
      <c r="AJ40" s="107">
        <f t="shared" si="53"/>
        <v>0</v>
      </c>
      <c r="AK40" s="107">
        <f t="shared" si="53"/>
        <v>0</v>
      </c>
      <c r="AL40" s="107">
        <f t="shared" si="53"/>
        <v>0</v>
      </c>
      <c r="AM40" s="107">
        <f t="shared" si="53"/>
        <v>0</v>
      </c>
      <c r="AN40" s="107">
        <f t="shared" si="53"/>
        <v>0</v>
      </c>
      <c r="AO40" s="107">
        <f t="shared" si="53"/>
        <v>0</v>
      </c>
      <c r="AP40" s="107">
        <f t="shared" si="53"/>
        <v>0</v>
      </c>
      <c r="AQ40" s="107">
        <f t="shared" si="53"/>
        <v>0</v>
      </c>
      <c r="AR40" s="107"/>
      <c r="AS40" s="130">
        <f>O40+AC40+AQ40</f>
        <v>121000</v>
      </c>
      <c r="AT40" s="27"/>
    </row>
    <row r="41" spans="1:46" s="165" customFormat="1" ht="10.9" thickBot="1" x14ac:dyDescent="0.4">
      <c r="A41" s="161"/>
      <c r="B41" s="16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4"/>
    </row>
    <row r="42" spans="1:46" s="13" customFormat="1" ht="24" thickTop="1" thickBot="1" x14ac:dyDescent="0.25">
      <c r="A42" s="14" t="s">
        <v>9</v>
      </c>
      <c r="B42" s="15"/>
      <c r="C42" s="19" t="str">
        <f t="shared" ref="C42:N42" si="54">C$6</f>
        <v>февраль</v>
      </c>
      <c r="D42" s="19" t="str">
        <f t="shared" si="54"/>
        <v>март</v>
      </c>
      <c r="E42" s="19" t="str">
        <f t="shared" si="54"/>
        <v>апрель</v>
      </c>
      <c r="F42" s="19" t="str">
        <f t="shared" si="54"/>
        <v>май</v>
      </c>
      <c r="G42" s="19" t="str">
        <f t="shared" si="54"/>
        <v>июнь</v>
      </c>
      <c r="H42" s="19" t="str">
        <f t="shared" si="54"/>
        <v>июль</v>
      </c>
      <c r="I42" s="19" t="str">
        <f t="shared" si="54"/>
        <v>август</v>
      </c>
      <c r="J42" s="19" t="str">
        <f t="shared" si="54"/>
        <v>сентябрь</v>
      </c>
      <c r="K42" s="19" t="str">
        <f t="shared" si="54"/>
        <v>октябрь</v>
      </c>
      <c r="L42" s="19" t="str">
        <f t="shared" si="54"/>
        <v>ноябрь</v>
      </c>
      <c r="M42" s="19" t="str">
        <f t="shared" si="54"/>
        <v>декабрь</v>
      </c>
      <c r="N42" s="19" t="str">
        <f t="shared" si="54"/>
        <v>январь</v>
      </c>
      <c r="O42" s="123" t="str">
        <f>O31</f>
        <v>Итого за 1-й год</v>
      </c>
      <c r="P42" s="123" t="str">
        <f>P31</f>
        <v>Среднемесячно за 1-й год</v>
      </c>
      <c r="Q42" s="19" t="str">
        <f t="shared" ref="Q42:AB42" si="55">Q$6</f>
        <v>февраль</v>
      </c>
      <c r="R42" s="19" t="str">
        <f t="shared" si="55"/>
        <v>март</v>
      </c>
      <c r="S42" s="19" t="str">
        <f t="shared" si="55"/>
        <v>апрель</v>
      </c>
      <c r="T42" s="19" t="str">
        <f t="shared" si="55"/>
        <v>май</v>
      </c>
      <c r="U42" s="19" t="str">
        <f t="shared" si="55"/>
        <v>июнь</v>
      </c>
      <c r="V42" s="19" t="str">
        <f t="shared" si="55"/>
        <v>июль</v>
      </c>
      <c r="W42" s="19" t="str">
        <f t="shared" si="55"/>
        <v>август</v>
      </c>
      <c r="X42" s="19" t="str">
        <f t="shared" si="55"/>
        <v>сентябрь</v>
      </c>
      <c r="Y42" s="19" t="str">
        <f t="shared" si="55"/>
        <v>октябрь</v>
      </c>
      <c r="Z42" s="19" t="str">
        <f t="shared" si="55"/>
        <v>ноябрь</v>
      </c>
      <c r="AA42" s="19" t="str">
        <f t="shared" si="55"/>
        <v>декабрь</v>
      </c>
      <c r="AB42" s="19" t="str">
        <f t="shared" si="55"/>
        <v>январь</v>
      </c>
      <c r="AC42" s="123" t="str">
        <f>AC31</f>
        <v>Итого за 2-й год</v>
      </c>
      <c r="AD42" s="123" t="str">
        <f>AD31</f>
        <v>Среднемесячно за 2-й год</v>
      </c>
      <c r="AE42" s="19" t="str">
        <f t="shared" ref="AE42:AP42" si="56">AE$6</f>
        <v>февраль</v>
      </c>
      <c r="AF42" s="19" t="str">
        <f t="shared" si="56"/>
        <v>март</v>
      </c>
      <c r="AG42" s="19" t="str">
        <f t="shared" si="56"/>
        <v>апрель</v>
      </c>
      <c r="AH42" s="19" t="str">
        <f t="shared" si="56"/>
        <v>май</v>
      </c>
      <c r="AI42" s="19" t="str">
        <f t="shared" si="56"/>
        <v>июнь</v>
      </c>
      <c r="AJ42" s="19" t="str">
        <f t="shared" si="56"/>
        <v>июль</v>
      </c>
      <c r="AK42" s="19" t="str">
        <f t="shared" si="56"/>
        <v>август</v>
      </c>
      <c r="AL42" s="19" t="str">
        <f t="shared" si="56"/>
        <v>сентябрь</v>
      </c>
      <c r="AM42" s="19" t="str">
        <f t="shared" si="56"/>
        <v>октябрь</v>
      </c>
      <c r="AN42" s="19" t="str">
        <f t="shared" si="56"/>
        <v>ноябрь</v>
      </c>
      <c r="AO42" s="19" t="str">
        <f t="shared" si="56"/>
        <v>декабрь</v>
      </c>
      <c r="AP42" s="19" t="str">
        <f t="shared" si="56"/>
        <v>январь</v>
      </c>
      <c r="AQ42" s="123" t="str">
        <f>AQ31</f>
        <v>Итого за 3-й год</v>
      </c>
      <c r="AR42" s="123" t="str">
        <f>AR31</f>
        <v>Среднемесячно за 3-й год</v>
      </c>
      <c r="AS42" s="132" t="str">
        <f>AS31</f>
        <v>Итого за три года</v>
      </c>
    </row>
    <row r="43" spans="1:46" s="36" customFormat="1" ht="10.9" thickTop="1" x14ac:dyDescent="0.35">
      <c r="A43" s="64" t="str">
        <f>'Исходные данные'!B47</f>
        <v>Зарплата персонала</v>
      </c>
      <c r="B43" s="22" t="str">
        <f>CHOOSE('Исходные данные'!$R$2,'Исходные данные'!$S$2,'Исходные данные'!$S$3,'Исходные данные'!$S$4,'Исходные данные'!$S$5)</f>
        <v>RUB</v>
      </c>
      <c r="C43" s="34">
        <f>C10*('Исходные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данные'!$F$44)+C20*('Исходные данные'!$I$41+'Исходные данные'!$I$42+'Исходные данные'!$I$43+'Исходные данные'!$I$44)</f>
        <v>13450</v>
      </c>
      <c r="D43" s="34">
        <f>D10*('Исходные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данные'!$F$44)+D20*('Исходные данные'!$I$41+'Исходные данные'!$I$42+'Исходные данные'!$I$43+'Исходные данные'!$I$44)</f>
        <v>14935</v>
      </c>
      <c r="E43" s="34">
        <f>E10*('Исходные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данные'!$F$44)+E20*('Исходные данные'!$I$41+'Исходные данные'!$I$42+'Исходные данные'!$I$43+'Исходные данные'!$I$44)</f>
        <v>22014.075000000001</v>
      </c>
      <c r="F43" s="34">
        <f>F10*('Исходные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данные'!$F$44)+F20*('Исходные данные'!$I$41+'Исходные данные'!$I$42+'Исходные данные'!$I$43+'Исходные данные'!$I$44)</f>
        <v>18356.445</v>
      </c>
      <c r="G43" s="34">
        <f>G10*('Исходные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данные'!$F$44)+G20*('Исходные данные'!$I$41+'Исходные данные'!$I$42+'Исходные данные'!$I$43+'Исходные данные'!$I$44)</f>
        <v>16496.260000000002</v>
      </c>
      <c r="H43" s="34">
        <f>H10*('Исходные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данные'!$F$44)+H20*('Исходные данные'!$I$41+'Исходные данные'!$I$42+'Исходные данные'!$I$43+'Исходные данные'!$I$44)</f>
        <v>14042</v>
      </c>
      <c r="I43" s="34">
        <f>I10*('Исходные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данные'!$F$44)+I20*('Исходные данные'!$I$41+'Исходные данные'!$I$42+'Исходные данные'!$I$43+'Исходные данные'!$I$44)</f>
        <v>13937.5</v>
      </c>
      <c r="J43" s="34">
        <f>J10*('Исходные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данные'!$F$44)+J20*('Исходные данные'!$I$41+'Исходные данные'!$I$42+'Исходные данные'!$I$43+'Исходные данные'!$I$44)</f>
        <v>17661.5</v>
      </c>
      <c r="K43" s="34">
        <f>K10*('Исходные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данные'!$F$44)+K20*('Исходные данные'!$I$41+'Исходные данные'!$I$42+'Исходные данные'!$I$43+'Исходные данные'!$I$44)</f>
        <v>15225</v>
      </c>
      <c r="L43" s="34">
        <f>L10*('Исходные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данные'!$F$44)+L20*('Исходные данные'!$I$41+'Исходные данные'!$I$42+'Исходные данные'!$I$43+'Исходные данные'!$I$44)</f>
        <v>13485</v>
      </c>
      <c r="M43" s="34">
        <f>M10*('Исходные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данные'!$F$44)+M20*('Исходные данные'!$I$41+'Исходные данные'!$I$42+'Исходные данные'!$I$43+'Исходные данные'!$I$44)</f>
        <v>12870</v>
      </c>
      <c r="N43" s="34">
        <f>N10*('Исходные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данные'!$F$44)+N20*('Исходные данные'!$I$41+'Исходные данные'!$I$42+'Исходные данные'!$I$43+'Исходные данные'!$I$44)</f>
        <v>12870</v>
      </c>
      <c r="O43" s="122">
        <f t="shared" ref="O43:O57" si="57">SUM(C43:N43)</f>
        <v>185342.78</v>
      </c>
      <c r="P43" s="122">
        <f t="shared" ref="P43:P57" si="58">O43/12</f>
        <v>15445.231666666667</v>
      </c>
      <c r="Q43" s="34">
        <f>Q10*('Исходные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данные'!$F$44)+Q20*('Исходные данные'!$I$41+'Исходные данные'!$I$42+'Исходные данные'!$I$43+'Исходные данные'!$I$44)</f>
        <v>13450</v>
      </c>
      <c r="R43" s="34">
        <f>R10*('Исходные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данные'!$F$44)+R20*('Исходные данные'!$I$41+'Исходные данные'!$I$42+'Исходные данные'!$I$43+'Исходные данные'!$I$44)</f>
        <v>14935</v>
      </c>
      <c r="S43" s="34">
        <f>S10*('Исходные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данные'!$F$44)+S20*('Исходные данные'!$I$41+'Исходные данные'!$I$42+'Исходные данные'!$I$43+'Исходные данные'!$I$44)</f>
        <v>22014.075000000001</v>
      </c>
      <c r="T43" s="34">
        <f>T10*('Исходные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данные'!$F$44)+T20*('Исходные данные'!$I$41+'Исходные данные'!$I$42+'Исходные данные'!$I$43+'Исходные данные'!$I$44)</f>
        <v>18356.445</v>
      </c>
      <c r="U43" s="34">
        <f>U10*('Исходные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данные'!$F$44)+U20*('Исходные данные'!$I$41+'Исходные данные'!$I$42+'Исходные данные'!$I$43+'Исходные данные'!$I$44)</f>
        <v>16496.260000000002</v>
      </c>
      <c r="V43" s="34">
        <f>V10*('Исходные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данные'!$F$44)+V20*('Исходные данные'!$I$41+'Исходные данные'!$I$42+'Исходные данные'!$I$43+'Исходные данные'!$I$44)</f>
        <v>14042</v>
      </c>
      <c r="W43" s="34">
        <f>W10*('Исходные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данные'!$F$44)+W20*('Исходные данные'!$I$41+'Исходные данные'!$I$42+'Исходные данные'!$I$43+'Исходные данные'!$I$44)</f>
        <v>13937.5</v>
      </c>
      <c r="X43" s="34">
        <f>X10*('Исходные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данные'!$F$44)+X20*('Исходные данные'!$I$41+'Исходные данные'!$I$42+'Исходные данные'!$I$43+'Исходные данные'!$I$44)</f>
        <v>17661.5</v>
      </c>
      <c r="Y43" s="34">
        <f>Y10*('Исходные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данные'!$F$44)+Y20*('Исходные данные'!$I$41+'Исходные данные'!$I$42+'Исходные данные'!$I$43+'Исходные данные'!$I$44)</f>
        <v>15225</v>
      </c>
      <c r="Z43" s="34">
        <f>Z10*('Исходные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данные'!$F$44)+Z20*('Исходные данные'!$I$41+'Исходные данные'!$I$42+'Исходные данные'!$I$43+'Исходные данные'!$I$44)</f>
        <v>13485</v>
      </c>
      <c r="AA43" s="34">
        <f>AA10*('Исходные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данные'!$F$44)+AA20*('Исходные данные'!$I$41+'Исходные данные'!$I$42+'Исходные данные'!$I$43+'Исходные данные'!$I$44)</f>
        <v>12870</v>
      </c>
      <c r="AB43" s="34">
        <f>AB10*('Исходные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данные'!$F$44)+AB20*('Исходные данные'!$I$41+'Исходные данные'!$I$42+'Исходные данные'!$I$43+'Исходные данные'!$I$44)</f>
        <v>12870</v>
      </c>
      <c r="AC43" s="122">
        <f t="shared" ref="AC43:AC57" si="59">SUM(Q43:AB43)</f>
        <v>185342.78</v>
      </c>
      <c r="AD43" s="122">
        <f t="shared" ref="AD43:AD57" si="60">AC43/12</f>
        <v>15445.231666666667</v>
      </c>
      <c r="AE43" s="34">
        <f>AE10*('Исходные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данные'!$F$44)+AE20*('Исходные данные'!$I$41+'Исходные данные'!$I$42+'Исходные данные'!$I$43+'Исходные данные'!$I$44)</f>
        <v>13450</v>
      </c>
      <c r="AF43" s="34">
        <f>AF10*('Исходные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данные'!$F$44)+AF20*('Исходные данные'!$I$41+'Исходные данные'!$I$42+'Исходные данные'!$I$43+'Исходные данные'!$I$44)</f>
        <v>14935</v>
      </c>
      <c r="AG43" s="34">
        <f>AG10*('Исходные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данные'!$F$44)+AG20*('Исходные данные'!$I$41+'Исходные данные'!$I$42+'Исходные данные'!$I$43+'Исходные данные'!$I$44)</f>
        <v>22014.075000000001</v>
      </c>
      <c r="AH43" s="34">
        <f>AH10*('Исходные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данные'!$F$44)+AH20*('Исходные данные'!$I$41+'Исходные данные'!$I$42+'Исходные данные'!$I$43+'Исходные данные'!$I$44)</f>
        <v>18356.445</v>
      </c>
      <c r="AI43" s="34">
        <f>AI10*('Исходные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данные'!$F$44)+AI20*('Исходные данные'!$I$41+'Исходные данные'!$I$42+'Исходные данные'!$I$43+'Исходные данные'!$I$44)</f>
        <v>16496.260000000002</v>
      </c>
      <c r="AJ43" s="34">
        <f>AJ10*('Исходные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данные'!$F$44)+AJ20*('Исходные данные'!$I$41+'Исходные данные'!$I$42+'Исходные данные'!$I$43+'Исходные данные'!$I$44)</f>
        <v>14042</v>
      </c>
      <c r="AK43" s="34">
        <f>AK10*('Исходные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данные'!$F$44)+AK20*('Исходные данные'!$I$41+'Исходные данные'!$I$42+'Исходные данные'!$I$43+'Исходные данные'!$I$44)</f>
        <v>13937.5</v>
      </c>
      <c r="AL43" s="34">
        <f>AL10*('Исходные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данные'!$F$44)+AL20*('Исходные данные'!$I$41+'Исходные данные'!$I$42+'Исходные данные'!$I$43+'Исходные данные'!$I$44)</f>
        <v>17661.5</v>
      </c>
      <c r="AM43" s="34">
        <f>AM10*('Исходные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данные'!$F$44)+AM20*('Исходные данные'!$I$41+'Исходные данные'!$I$42+'Исходные данные'!$I$43+'Исходные данные'!$I$44)</f>
        <v>15225</v>
      </c>
      <c r="AN43" s="34">
        <f>AN10*('Исходные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данные'!$F$44)+AN20*('Исходные данные'!$I$41+'Исходные данные'!$I$42+'Исходные данные'!$I$43+'Исходные данные'!$I$44)</f>
        <v>13485</v>
      </c>
      <c r="AO43" s="34">
        <f>AO10*('Исходные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данные'!$F$44)+AO20*('Исходные данные'!$I$41+'Исходные данные'!$I$42+'Исходные данные'!$I$43+'Исходные данные'!$I$44)</f>
        <v>12870</v>
      </c>
      <c r="AP43" s="34">
        <f>AP10*('Исходные данные'!$D$41*'Исходные данные'!$F$41+'Исходные данные'!$D$42*'Исходные данные'!$F$42+'Исходные данные'!$D$43*'Исходные данные'!$F$43+'Исходные данные'!$D$44*'Исходные данные'!$F$44)+AP20*('Исходные данные'!$I$41+'Исходные данные'!$I$42+'Исходные данные'!$I$43+'Исходные данные'!$I$44)</f>
        <v>12870</v>
      </c>
      <c r="AQ43" s="122">
        <f t="shared" ref="AQ43:AQ57" si="61">SUM(AE43:AP43)</f>
        <v>185342.78</v>
      </c>
      <c r="AR43" s="122">
        <f t="shared" ref="AR43:AR57" si="62">AQ43/12</f>
        <v>15445.231666666667</v>
      </c>
      <c r="AS43" s="129">
        <f t="shared" ref="AS43:AS57" si="63">O43+AC43+AQ43</f>
        <v>556028.34</v>
      </c>
      <c r="AT43" s="35"/>
    </row>
    <row r="44" spans="1:46" s="39" customFormat="1" ht="10.5" x14ac:dyDescent="0.35">
      <c r="A44" s="65" t="str">
        <f>'Исходные данные'!B48</f>
        <v>Роялти</v>
      </c>
      <c r="B44" s="25" t="str">
        <f>CHOOSE('Исходные данные'!$R$2,'Исходные данные'!$S$2,'Исходные данные'!$S$3,'Исходные данные'!$S$4,'Исходные данные'!$S$5)</f>
        <v>RUB</v>
      </c>
      <c r="C44" s="37">
        <f>C$20*'Исходные данные'!$D48</f>
        <v>2900</v>
      </c>
      <c r="D44" s="37">
        <f>D$20*'Исходные данные'!$D48</f>
        <v>5870</v>
      </c>
      <c r="E44" s="37">
        <f>E$20*'Исходные данные'!$D48</f>
        <v>20028.150000000001</v>
      </c>
      <c r="F44" s="37">
        <f>F$20*'Исходные данные'!$D48</f>
        <v>12712.89</v>
      </c>
      <c r="G44" s="37">
        <f>G$20*'Исходные данные'!$D48</f>
        <v>8992.52</v>
      </c>
      <c r="H44" s="37">
        <f>H$20*'Исходные данные'!$D48</f>
        <v>4084</v>
      </c>
      <c r="I44" s="37">
        <f>I$20*'Исходные данные'!$D48</f>
        <v>3875</v>
      </c>
      <c r="J44" s="37">
        <f>J$20*'Исходные данные'!$D48</f>
        <v>11323</v>
      </c>
      <c r="K44" s="37">
        <f>K$20*'Исходные данные'!$D48</f>
        <v>6450</v>
      </c>
      <c r="L44" s="37">
        <f>L$20*'Исходные данные'!$D48</f>
        <v>2970</v>
      </c>
      <c r="M44" s="37">
        <f>M$20*'Исходные данные'!$D48</f>
        <v>1740</v>
      </c>
      <c r="N44" s="37">
        <f>N$20*'Исходные данные'!$D48</f>
        <v>1740</v>
      </c>
      <c r="O44" s="56">
        <f t="shared" si="57"/>
        <v>82685.56</v>
      </c>
      <c r="P44" s="56">
        <f t="shared" si="58"/>
        <v>6890.4633333333331</v>
      </c>
      <c r="Q44" s="37">
        <f>Q$20*'Исходные данные'!$D48</f>
        <v>2900</v>
      </c>
      <c r="R44" s="37">
        <f>R$20*'Исходные данные'!$D48</f>
        <v>5870</v>
      </c>
      <c r="S44" s="37">
        <f>S$20*'Исходные данные'!$D48</f>
        <v>20028.150000000001</v>
      </c>
      <c r="T44" s="37">
        <f>T$20*'Исходные данные'!$D48</f>
        <v>12712.89</v>
      </c>
      <c r="U44" s="37">
        <f>U$20*'Исходные данные'!$D48</f>
        <v>8992.52</v>
      </c>
      <c r="V44" s="37">
        <f>V$20*'Исходные данные'!$D48</f>
        <v>4084</v>
      </c>
      <c r="W44" s="37">
        <f>W$20*'Исходные данные'!$D48</f>
        <v>3875</v>
      </c>
      <c r="X44" s="37">
        <f>X$20*'Исходные данные'!$D48</f>
        <v>11323</v>
      </c>
      <c r="Y44" s="37">
        <f>Y$20*'Исходные данные'!$D48</f>
        <v>6450</v>
      </c>
      <c r="Z44" s="37">
        <f>Z$20*'Исходные данные'!$D48</f>
        <v>2970</v>
      </c>
      <c r="AA44" s="37">
        <f>AA$20*'Исходные данные'!$D48</f>
        <v>1740</v>
      </c>
      <c r="AB44" s="37">
        <f>AB$20*'Исходные данные'!$D48</f>
        <v>1740</v>
      </c>
      <c r="AC44" s="56">
        <f t="shared" si="59"/>
        <v>82685.56</v>
      </c>
      <c r="AD44" s="56">
        <f t="shared" si="60"/>
        <v>6890.4633333333331</v>
      </c>
      <c r="AE44" s="37">
        <f>AE$20*'Исходные данные'!$D48</f>
        <v>2900</v>
      </c>
      <c r="AF44" s="37">
        <f>AF$20*'Исходные данные'!$D48</f>
        <v>5870</v>
      </c>
      <c r="AG44" s="37">
        <f>AG$20*'Исходные данные'!$D48</f>
        <v>20028.150000000001</v>
      </c>
      <c r="AH44" s="37">
        <f>AH$20*'Исходные данные'!$D48</f>
        <v>12712.89</v>
      </c>
      <c r="AI44" s="37">
        <f>AI$20*'Исходные данные'!$D48</f>
        <v>8992.52</v>
      </c>
      <c r="AJ44" s="37">
        <f>AJ$20*'Исходные данные'!$D48</f>
        <v>4084</v>
      </c>
      <c r="AK44" s="37">
        <f>AK$20*'Исходные данные'!$D48</f>
        <v>3875</v>
      </c>
      <c r="AL44" s="37">
        <f>AL$20*'Исходные данные'!$D48</f>
        <v>11323</v>
      </c>
      <c r="AM44" s="37">
        <f>AM$20*'Исходные данные'!$D48</f>
        <v>6450</v>
      </c>
      <c r="AN44" s="37">
        <f>AN$20*'Исходные данные'!$D48</f>
        <v>2970</v>
      </c>
      <c r="AO44" s="37">
        <f>AO$20*'Исходные данные'!$D48</f>
        <v>1740</v>
      </c>
      <c r="AP44" s="37">
        <f>AP$20*'Исходные данные'!$D48</f>
        <v>1740</v>
      </c>
      <c r="AQ44" s="56">
        <f t="shared" si="61"/>
        <v>82685.56</v>
      </c>
      <c r="AR44" s="56">
        <f t="shared" si="62"/>
        <v>6890.4633333333331</v>
      </c>
      <c r="AS44" s="129">
        <f t="shared" si="63"/>
        <v>248056.68</v>
      </c>
      <c r="AT44" s="38"/>
    </row>
    <row r="45" spans="1:46" s="36" customFormat="1" ht="10.5" x14ac:dyDescent="0.35">
      <c r="A45" s="64" t="str">
        <f>'Исходные данные'!B49</f>
        <v>Маркетинговое сопровождение</v>
      </c>
      <c r="B45" s="22" t="str">
        <f>CHOOSE('Исходные данные'!$R$2,'Исходные данные'!$S$2,'Исходные данные'!$S$3,'Исходные данные'!$S$4,'Исходные данные'!$S$5)</f>
        <v>RUB</v>
      </c>
      <c r="C45" s="34">
        <f>'Исходные данные'!$J49</f>
        <v>15000</v>
      </c>
      <c r="D45" s="34">
        <f>'Исходные данные'!$J49</f>
        <v>15000</v>
      </c>
      <c r="E45" s="34">
        <f>'Исходные данные'!$J49</f>
        <v>15000</v>
      </c>
      <c r="F45" s="34">
        <f>'Исходные данные'!$J49</f>
        <v>15000</v>
      </c>
      <c r="G45" s="34">
        <f>'Исходные данные'!$J49</f>
        <v>15000</v>
      </c>
      <c r="H45" s="34">
        <f>'Исходные данные'!$J49</f>
        <v>15000</v>
      </c>
      <c r="I45" s="34">
        <f>'Исходные данные'!$J49</f>
        <v>15000</v>
      </c>
      <c r="J45" s="34">
        <f>'Исходные данные'!$J49</f>
        <v>15000</v>
      </c>
      <c r="K45" s="34">
        <f>'Исходные данные'!$J49</f>
        <v>15000</v>
      </c>
      <c r="L45" s="34">
        <f>'Исходные данные'!$J49</f>
        <v>15000</v>
      </c>
      <c r="M45" s="34">
        <f>'Исходные данные'!$J49</f>
        <v>15000</v>
      </c>
      <c r="N45" s="34">
        <f>'Исходные данные'!$J49</f>
        <v>15000</v>
      </c>
      <c r="O45" s="122">
        <f t="shared" ref="O45" si="64">SUM(C45:N45)</f>
        <v>180000</v>
      </c>
      <c r="P45" s="122">
        <f t="shared" ref="P45" si="65">O45/12</f>
        <v>15000</v>
      </c>
      <c r="Q45" s="34">
        <f>'Исходные данные'!$J49</f>
        <v>15000</v>
      </c>
      <c r="R45" s="34">
        <f>'Исходные данные'!$J49</f>
        <v>15000</v>
      </c>
      <c r="S45" s="34">
        <f>'Исходные данные'!$J49</f>
        <v>15000</v>
      </c>
      <c r="T45" s="34">
        <f>'Исходные данные'!$J49</f>
        <v>15000</v>
      </c>
      <c r="U45" s="34">
        <f>'Исходные данные'!$J49</f>
        <v>15000</v>
      </c>
      <c r="V45" s="34">
        <f>'Исходные данные'!$J49</f>
        <v>15000</v>
      </c>
      <c r="W45" s="34">
        <f>'Исходные данные'!$J49</f>
        <v>15000</v>
      </c>
      <c r="X45" s="34">
        <f>'Исходные данные'!$J49</f>
        <v>15000</v>
      </c>
      <c r="Y45" s="34">
        <f>'Исходные данные'!$J49</f>
        <v>15000</v>
      </c>
      <c r="Z45" s="34">
        <f>'Исходные данные'!$J49</f>
        <v>15000</v>
      </c>
      <c r="AA45" s="34">
        <f>'Исходные данные'!$J49</f>
        <v>15000</v>
      </c>
      <c r="AB45" s="34">
        <f>'Исходные данные'!$J49</f>
        <v>15000</v>
      </c>
      <c r="AC45" s="122">
        <f t="shared" ref="AC45" si="66">SUM(Q45:AB45)</f>
        <v>180000</v>
      </c>
      <c r="AD45" s="122">
        <f t="shared" ref="AD45" si="67">AC45/12</f>
        <v>15000</v>
      </c>
      <c r="AE45" s="34">
        <f>'Исходные данные'!$J49</f>
        <v>15000</v>
      </c>
      <c r="AF45" s="34">
        <f>'Исходные данные'!$J49</f>
        <v>15000</v>
      </c>
      <c r="AG45" s="34">
        <f>'Исходные данные'!$J49</f>
        <v>15000</v>
      </c>
      <c r="AH45" s="34">
        <f>'Исходные данные'!$J49</f>
        <v>15000</v>
      </c>
      <c r="AI45" s="34">
        <f>'Исходные данные'!$J49</f>
        <v>15000</v>
      </c>
      <c r="AJ45" s="34">
        <f>'Исходные данные'!$J49</f>
        <v>15000</v>
      </c>
      <c r="AK45" s="34">
        <f>'Исходные данные'!$J49</f>
        <v>15000</v>
      </c>
      <c r="AL45" s="34">
        <f>'Исходные данные'!$J49</f>
        <v>15000</v>
      </c>
      <c r="AM45" s="34">
        <f>'Исходные данные'!$J49</f>
        <v>15000</v>
      </c>
      <c r="AN45" s="34">
        <f>'Исходные данные'!$J49</f>
        <v>15000</v>
      </c>
      <c r="AO45" s="34">
        <f>'Исходные данные'!$J49</f>
        <v>15000</v>
      </c>
      <c r="AP45" s="34">
        <f>'Исходные данные'!$J49</f>
        <v>15000</v>
      </c>
      <c r="AQ45" s="122">
        <f t="shared" ref="AQ45" si="68">SUM(AE45:AP45)</f>
        <v>180000</v>
      </c>
      <c r="AR45" s="122">
        <f t="shared" ref="AR45" si="69">AQ45/12</f>
        <v>15000</v>
      </c>
      <c r="AS45" s="129">
        <f t="shared" ref="AS45" si="70">O45+AC45+AQ45</f>
        <v>540000</v>
      </c>
      <c r="AT45" s="35"/>
    </row>
    <row r="46" spans="1:46" s="39" customFormat="1" ht="10.5" x14ac:dyDescent="0.35">
      <c r="A46" s="65" t="str">
        <f>'Исходные данные'!B51</f>
        <v>Аренда</v>
      </c>
      <c r="B46" s="25" t="str">
        <f>CHOOSE('Исходные данные'!$R$2,'Исходные данные'!$S$2,'Исходные данные'!$S$3,'Исходные данные'!$S$4,'Исходные данные'!$S$5)</f>
        <v>RUB</v>
      </c>
      <c r="C46" s="37">
        <f>'Исходные данные'!$J$51*C9</f>
        <v>9000</v>
      </c>
      <c r="D46" s="37">
        <f>'Исходные данные'!$J$51*D9</f>
        <v>9000</v>
      </c>
      <c r="E46" s="37">
        <f>'Исходные данные'!$J$51*E9</f>
        <v>9000</v>
      </c>
      <c r="F46" s="37">
        <f>'Исходные данные'!$J$51*F9</f>
        <v>9000</v>
      </c>
      <c r="G46" s="37">
        <f>'Исходные данные'!$J$51*G9</f>
        <v>9000</v>
      </c>
      <c r="H46" s="37">
        <f>'Исходные данные'!$J$51*H9</f>
        <v>9000</v>
      </c>
      <c r="I46" s="37">
        <f>'Исходные данные'!$J$51*I9</f>
        <v>9000</v>
      </c>
      <c r="J46" s="37">
        <f>'Исходные данные'!$J$51*J9</f>
        <v>9000</v>
      </c>
      <c r="K46" s="37">
        <f>'Исходные данные'!$J$51*K9</f>
        <v>9000</v>
      </c>
      <c r="L46" s="37">
        <f>'Исходные данные'!$J$51*L9</f>
        <v>9000</v>
      </c>
      <c r="M46" s="37">
        <f>'Исходные данные'!$J$51*M9</f>
        <v>9000</v>
      </c>
      <c r="N46" s="37">
        <f>'Исходные данные'!$J$51*N9</f>
        <v>9000</v>
      </c>
      <c r="O46" s="56">
        <f t="shared" si="57"/>
        <v>108000</v>
      </c>
      <c r="P46" s="56">
        <f t="shared" si="58"/>
        <v>9000</v>
      </c>
      <c r="Q46" s="37">
        <f>'Исходные данные'!$J$51*Q9</f>
        <v>9000</v>
      </c>
      <c r="R46" s="37">
        <f>'Исходные данные'!$J$51*R9</f>
        <v>9000</v>
      </c>
      <c r="S46" s="37">
        <f>'Исходные данные'!$J$51*S9</f>
        <v>9000</v>
      </c>
      <c r="T46" s="37">
        <f>'Исходные данные'!$J$51*T9</f>
        <v>9000</v>
      </c>
      <c r="U46" s="37">
        <f>'Исходные данные'!$J$51*U9</f>
        <v>9000</v>
      </c>
      <c r="V46" s="37">
        <f>'Исходные данные'!$J$51*V9</f>
        <v>9000</v>
      </c>
      <c r="W46" s="37">
        <f>'Исходные данные'!$J$51*W9</f>
        <v>9000</v>
      </c>
      <c r="X46" s="37">
        <f>'Исходные данные'!$J$51*X9</f>
        <v>9000</v>
      </c>
      <c r="Y46" s="37">
        <f>'Исходные данные'!$J$51*Y9</f>
        <v>9000</v>
      </c>
      <c r="Z46" s="37">
        <f>'Исходные данные'!$J$51*Z9</f>
        <v>9000</v>
      </c>
      <c r="AA46" s="37">
        <f>'Исходные данные'!$J$51*AA9</f>
        <v>9000</v>
      </c>
      <c r="AB46" s="37">
        <f>'Исходные данные'!$J$51*AB9</f>
        <v>9000</v>
      </c>
      <c r="AC46" s="56">
        <f t="shared" si="59"/>
        <v>108000</v>
      </c>
      <c r="AD46" s="56">
        <f t="shared" si="60"/>
        <v>9000</v>
      </c>
      <c r="AE46" s="37">
        <f>'Исходные данные'!$J$51*AE9</f>
        <v>9000</v>
      </c>
      <c r="AF46" s="37">
        <f>'Исходные данные'!$J$51*AF9</f>
        <v>9000</v>
      </c>
      <c r="AG46" s="37">
        <f>'Исходные данные'!$J$51*AG9</f>
        <v>9000</v>
      </c>
      <c r="AH46" s="37">
        <f>'Исходные данные'!$J$51*AH9</f>
        <v>9000</v>
      </c>
      <c r="AI46" s="37">
        <f>'Исходные данные'!$J$51*AI9</f>
        <v>9000</v>
      </c>
      <c r="AJ46" s="37">
        <f>'Исходные данные'!$J$51*AJ9</f>
        <v>9000</v>
      </c>
      <c r="AK46" s="37">
        <f>'Исходные данные'!$J$51*AK9</f>
        <v>9000</v>
      </c>
      <c r="AL46" s="37">
        <f>'Исходные данные'!$J$51*AL9</f>
        <v>9000</v>
      </c>
      <c r="AM46" s="37">
        <f>'Исходные данные'!$J$51*AM9</f>
        <v>9000</v>
      </c>
      <c r="AN46" s="37">
        <f>'Исходные данные'!$J$51*AN9</f>
        <v>9000</v>
      </c>
      <c r="AO46" s="37">
        <f>'Исходные данные'!$J$51*AO9</f>
        <v>9000</v>
      </c>
      <c r="AP46" s="37">
        <f>'Исходные данные'!$J$51*AP9</f>
        <v>9000</v>
      </c>
      <c r="AQ46" s="56">
        <f t="shared" si="61"/>
        <v>108000</v>
      </c>
      <c r="AR46" s="56">
        <f t="shared" si="62"/>
        <v>9000</v>
      </c>
      <c r="AS46" s="129">
        <f t="shared" si="63"/>
        <v>324000</v>
      </c>
      <c r="AT46" s="38"/>
    </row>
    <row r="47" spans="1:46" s="36" customFormat="1" ht="10.5" x14ac:dyDescent="0.35">
      <c r="A47" s="64" t="str">
        <f>'Исходные данные'!B52</f>
        <v>Коммунальные платежи</v>
      </c>
      <c r="B47" s="22" t="str">
        <f>CHOOSE('Исходные данные'!$R$2,'Исходные данные'!$S$2,'Исходные данные'!$S$3,'Исходные данные'!$S$4,'Исходные данные'!$S$5)</f>
        <v>RUB</v>
      </c>
      <c r="C47" s="34">
        <f>'Исходные данные'!$J52</f>
        <v>1500</v>
      </c>
      <c r="D47" s="34">
        <f>'Исходные данные'!$J52</f>
        <v>1500</v>
      </c>
      <c r="E47" s="34">
        <f>'Исходные данные'!$J52</f>
        <v>1500</v>
      </c>
      <c r="F47" s="34">
        <f>'Исходные данные'!$J52</f>
        <v>1500</v>
      </c>
      <c r="G47" s="34">
        <f>'Исходные данные'!$J52</f>
        <v>1500</v>
      </c>
      <c r="H47" s="34">
        <f>'Исходные данные'!$J52</f>
        <v>1500</v>
      </c>
      <c r="I47" s="34">
        <f>'Исходные данные'!$J52</f>
        <v>1500</v>
      </c>
      <c r="J47" s="34">
        <f>'Исходные данные'!$J52</f>
        <v>1500</v>
      </c>
      <c r="K47" s="34">
        <f>'Исходные данные'!$J52</f>
        <v>1500</v>
      </c>
      <c r="L47" s="34">
        <f>'Исходные данные'!$J52</f>
        <v>1500</v>
      </c>
      <c r="M47" s="34">
        <f>'Исходные данные'!$J52</f>
        <v>1500</v>
      </c>
      <c r="N47" s="34">
        <f>'Исходные данные'!$J52</f>
        <v>1500</v>
      </c>
      <c r="O47" s="122">
        <f t="shared" si="57"/>
        <v>18000</v>
      </c>
      <c r="P47" s="122">
        <f t="shared" si="58"/>
        <v>1500</v>
      </c>
      <c r="Q47" s="34">
        <f>'Исходные данные'!$J52</f>
        <v>1500</v>
      </c>
      <c r="R47" s="34">
        <f>'Исходные данные'!$J52</f>
        <v>1500</v>
      </c>
      <c r="S47" s="34">
        <f>'Исходные данные'!$J52</f>
        <v>1500</v>
      </c>
      <c r="T47" s="34">
        <f>'Исходные данные'!$J52</f>
        <v>1500</v>
      </c>
      <c r="U47" s="34">
        <f>'Исходные данные'!$J52</f>
        <v>1500</v>
      </c>
      <c r="V47" s="34">
        <f>'Исходные данные'!$J52</f>
        <v>1500</v>
      </c>
      <c r="W47" s="34">
        <f>'Исходные данные'!$J52</f>
        <v>1500</v>
      </c>
      <c r="X47" s="34">
        <f>'Исходные данные'!$J52</f>
        <v>1500</v>
      </c>
      <c r="Y47" s="34">
        <f>'Исходные данные'!$J52</f>
        <v>1500</v>
      </c>
      <c r="Z47" s="34">
        <f>'Исходные данные'!$J52</f>
        <v>1500</v>
      </c>
      <c r="AA47" s="34">
        <f>'Исходные данные'!$J52</f>
        <v>1500</v>
      </c>
      <c r="AB47" s="34">
        <f>'Исходные данные'!$J52</f>
        <v>1500</v>
      </c>
      <c r="AC47" s="122">
        <f t="shared" si="59"/>
        <v>18000</v>
      </c>
      <c r="AD47" s="122">
        <f t="shared" si="60"/>
        <v>1500</v>
      </c>
      <c r="AE47" s="34">
        <f>'Исходные данные'!$J52</f>
        <v>1500</v>
      </c>
      <c r="AF47" s="34">
        <f>'Исходные данные'!$J52</f>
        <v>1500</v>
      </c>
      <c r="AG47" s="34">
        <f>'Исходные данные'!$J52</f>
        <v>1500</v>
      </c>
      <c r="AH47" s="34">
        <f>'Исходные данные'!$J52</f>
        <v>1500</v>
      </c>
      <c r="AI47" s="34">
        <f>'Исходные данные'!$J52</f>
        <v>1500</v>
      </c>
      <c r="AJ47" s="34">
        <f>'Исходные данные'!$J52</f>
        <v>1500</v>
      </c>
      <c r="AK47" s="34">
        <f>'Исходные данные'!$J52</f>
        <v>1500</v>
      </c>
      <c r="AL47" s="34">
        <f>'Исходные данные'!$J52</f>
        <v>1500</v>
      </c>
      <c r="AM47" s="34">
        <f>'Исходные данные'!$J52</f>
        <v>1500</v>
      </c>
      <c r="AN47" s="34">
        <f>'Исходные данные'!$J52</f>
        <v>1500</v>
      </c>
      <c r="AO47" s="34">
        <f>'Исходные данные'!$J52</f>
        <v>1500</v>
      </c>
      <c r="AP47" s="34">
        <f>'Исходные данные'!$J52</f>
        <v>1500</v>
      </c>
      <c r="AQ47" s="122">
        <f t="shared" si="61"/>
        <v>18000</v>
      </c>
      <c r="AR47" s="122">
        <f t="shared" si="62"/>
        <v>1500</v>
      </c>
      <c r="AS47" s="129">
        <f t="shared" si="63"/>
        <v>54000</v>
      </c>
      <c r="AT47" s="35"/>
    </row>
    <row r="48" spans="1:46" s="39" customFormat="1" ht="10.5" x14ac:dyDescent="0.35">
      <c r="A48" s="65" t="str">
        <f>'Исходные данные'!B53</f>
        <v>Хозяйственные нужды</v>
      </c>
      <c r="B48" s="25" t="str">
        <f>CHOOSE('Исходные данные'!$R$2,'Исходные данные'!$S$2,'Исходные данные'!$S$3,'Исходные данные'!$S$4,'Исходные данные'!$S$5)</f>
        <v>RUB</v>
      </c>
      <c r="C48" s="37">
        <f>'Исходные данные'!$J53</f>
        <v>0</v>
      </c>
      <c r="D48" s="37">
        <f>'Исходные данные'!$J53</f>
        <v>0</v>
      </c>
      <c r="E48" s="37">
        <f>'Исходные данные'!$J53</f>
        <v>0</v>
      </c>
      <c r="F48" s="37">
        <f>'Исходные данные'!$J53</f>
        <v>0</v>
      </c>
      <c r="G48" s="37">
        <f>'Исходные данные'!$J53</f>
        <v>0</v>
      </c>
      <c r="H48" s="37">
        <f>'Исходные данные'!$J53</f>
        <v>0</v>
      </c>
      <c r="I48" s="37">
        <f>'Исходные данные'!$J53</f>
        <v>0</v>
      </c>
      <c r="J48" s="37">
        <f>'Исходные данные'!$J53</f>
        <v>0</v>
      </c>
      <c r="K48" s="37">
        <f>'Исходные данные'!$J53</f>
        <v>0</v>
      </c>
      <c r="L48" s="37">
        <f>'Исходные данные'!$J53</f>
        <v>0</v>
      </c>
      <c r="M48" s="37">
        <f>'Исходные данные'!$J53</f>
        <v>0</v>
      </c>
      <c r="N48" s="37">
        <f>'Исходные данные'!$J53</f>
        <v>0</v>
      </c>
      <c r="O48" s="56">
        <f t="shared" si="57"/>
        <v>0</v>
      </c>
      <c r="P48" s="56">
        <f t="shared" si="58"/>
        <v>0</v>
      </c>
      <c r="Q48" s="37">
        <f>'Исходные данные'!$J53</f>
        <v>0</v>
      </c>
      <c r="R48" s="37">
        <f>'Исходные данные'!$J53</f>
        <v>0</v>
      </c>
      <c r="S48" s="37">
        <f>'Исходные данные'!$J53</f>
        <v>0</v>
      </c>
      <c r="T48" s="37">
        <f>'Исходные данные'!$J53</f>
        <v>0</v>
      </c>
      <c r="U48" s="37">
        <f>'Исходные данные'!$J53</f>
        <v>0</v>
      </c>
      <c r="V48" s="37">
        <f>'Исходные данные'!$J53</f>
        <v>0</v>
      </c>
      <c r="W48" s="37">
        <f>'Исходные данные'!$J53</f>
        <v>0</v>
      </c>
      <c r="X48" s="37">
        <f>'Исходные данные'!$J53</f>
        <v>0</v>
      </c>
      <c r="Y48" s="37">
        <f>'Исходные данные'!$J53</f>
        <v>0</v>
      </c>
      <c r="Z48" s="37">
        <f>'Исходные данные'!$J53</f>
        <v>0</v>
      </c>
      <c r="AA48" s="37">
        <f>'Исходные данные'!$J53</f>
        <v>0</v>
      </c>
      <c r="AB48" s="37">
        <f>'Исходные данные'!$J53</f>
        <v>0</v>
      </c>
      <c r="AC48" s="56">
        <f t="shared" si="59"/>
        <v>0</v>
      </c>
      <c r="AD48" s="56">
        <f t="shared" si="60"/>
        <v>0</v>
      </c>
      <c r="AE48" s="37">
        <f>'Исходные данные'!$J53</f>
        <v>0</v>
      </c>
      <c r="AF48" s="37">
        <f>'Исходные данные'!$J53</f>
        <v>0</v>
      </c>
      <c r="AG48" s="37">
        <f>'Исходные данные'!$J53</f>
        <v>0</v>
      </c>
      <c r="AH48" s="37">
        <f>'Исходные данные'!$J53</f>
        <v>0</v>
      </c>
      <c r="AI48" s="37">
        <f>'Исходные данные'!$J53</f>
        <v>0</v>
      </c>
      <c r="AJ48" s="37">
        <f>'Исходные данные'!$J53</f>
        <v>0</v>
      </c>
      <c r="AK48" s="37">
        <f>'Исходные данные'!$J53</f>
        <v>0</v>
      </c>
      <c r="AL48" s="37">
        <f>'Исходные данные'!$J53</f>
        <v>0</v>
      </c>
      <c r="AM48" s="37">
        <f>'Исходные данные'!$J53</f>
        <v>0</v>
      </c>
      <c r="AN48" s="37">
        <f>'Исходные данные'!$J53</f>
        <v>0</v>
      </c>
      <c r="AO48" s="37">
        <f>'Исходные данные'!$J53</f>
        <v>0</v>
      </c>
      <c r="AP48" s="37">
        <f>'Исходные данные'!$J53</f>
        <v>0</v>
      </c>
      <c r="AQ48" s="56">
        <f t="shared" si="61"/>
        <v>0</v>
      </c>
      <c r="AR48" s="56">
        <f t="shared" si="62"/>
        <v>0</v>
      </c>
      <c r="AS48" s="129">
        <f t="shared" si="63"/>
        <v>0</v>
      </c>
      <c r="AT48" s="38"/>
    </row>
    <row r="49" spans="1:46" s="36" customFormat="1" ht="10.5" x14ac:dyDescent="0.35">
      <c r="A49" s="64" t="str">
        <f>'Исходные данные'!B54</f>
        <v>Офисные расходы</v>
      </c>
      <c r="B49" s="22" t="str">
        <f>CHOOSE('Исходные данные'!$R$2,'Исходные данные'!$S$2,'Исходные данные'!$S$3,'Исходные данные'!$S$4,'Исходные данные'!$S$5)</f>
        <v>RUB</v>
      </c>
      <c r="C49" s="34">
        <f>'Исходные данные'!$J54</f>
        <v>300</v>
      </c>
      <c r="D49" s="34">
        <f>'Исходные данные'!$J54</f>
        <v>300</v>
      </c>
      <c r="E49" s="34">
        <f>'Исходные данные'!$J54</f>
        <v>300</v>
      </c>
      <c r="F49" s="34">
        <f>'Исходные данные'!$J54</f>
        <v>300</v>
      </c>
      <c r="G49" s="34">
        <f>'Исходные данные'!$J54</f>
        <v>300</v>
      </c>
      <c r="H49" s="34">
        <f>'Исходные данные'!$J54</f>
        <v>300</v>
      </c>
      <c r="I49" s="34">
        <f>'Исходные данные'!$J54</f>
        <v>300</v>
      </c>
      <c r="J49" s="34">
        <f>'Исходные данные'!$J54</f>
        <v>300</v>
      </c>
      <c r="K49" s="34">
        <f>'Исходные данные'!$J54</f>
        <v>300</v>
      </c>
      <c r="L49" s="34">
        <f>'Исходные данные'!$J54</f>
        <v>300</v>
      </c>
      <c r="M49" s="34">
        <f>'Исходные данные'!$J54</f>
        <v>300</v>
      </c>
      <c r="N49" s="34">
        <f>'Исходные данные'!$J54</f>
        <v>300</v>
      </c>
      <c r="O49" s="122">
        <f t="shared" si="57"/>
        <v>3600</v>
      </c>
      <c r="P49" s="122">
        <f t="shared" si="58"/>
        <v>300</v>
      </c>
      <c r="Q49" s="34">
        <f>'Исходные данные'!$J54</f>
        <v>300</v>
      </c>
      <c r="R49" s="34">
        <f>'Исходные данные'!$J54</f>
        <v>300</v>
      </c>
      <c r="S49" s="34">
        <f>'Исходные данные'!$J54</f>
        <v>300</v>
      </c>
      <c r="T49" s="34">
        <f>'Исходные данные'!$J54</f>
        <v>300</v>
      </c>
      <c r="U49" s="34">
        <f>'Исходные данные'!$J54</f>
        <v>300</v>
      </c>
      <c r="V49" s="34">
        <f>'Исходные данные'!$J54</f>
        <v>300</v>
      </c>
      <c r="W49" s="34">
        <f>'Исходные данные'!$J54</f>
        <v>300</v>
      </c>
      <c r="X49" s="34">
        <f>'Исходные данные'!$J54</f>
        <v>300</v>
      </c>
      <c r="Y49" s="34">
        <f>'Исходные данные'!$J54</f>
        <v>300</v>
      </c>
      <c r="Z49" s="34">
        <f>'Исходные данные'!$J54</f>
        <v>300</v>
      </c>
      <c r="AA49" s="34">
        <f>'Исходные данные'!$J54</f>
        <v>300</v>
      </c>
      <c r="AB49" s="34">
        <f>'Исходные данные'!$J54</f>
        <v>300</v>
      </c>
      <c r="AC49" s="122">
        <f t="shared" si="59"/>
        <v>3600</v>
      </c>
      <c r="AD49" s="122">
        <f t="shared" si="60"/>
        <v>300</v>
      </c>
      <c r="AE49" s="34">
        <f>'Исходные данные'!$J54</f>
        <v>300</v>
      </c>
      <c r="AF49" s="34">
        <f>'Исходные данные'!$J54</f>
        <v>300</v>
      </c>
      <c r="AG49" s="34">
        <f>'Исходные данные'!$J54</f>
        <v>300</v>
      </c>
      <c r="AH49" s="34">
        <f>'Исходные данные'!$J54</f>
        <v>300</v>
      </c>
      <c r="AI49" s="34">
        <f>'Исходные данные'!$J54</f>
        <v>300</v>
      </c>
      <c r="AJ49" s="34">
        <f>'Исходные данные'!$J54</f>
        <v>300</v>
      </c>
      <c r="AK49" s="34">
        <f>'Исходные данные'!$J54</f>
        <v>300</v>
      </c>
      <c r="AL49" s="34">
        <f>'Исходные данные'!$J54</f>
        <v>300</v>
      </c>
      <c r="AM49" s="34">
        <f>'Исходные данные'!$J54</f>
        <v>300</v>
      </c>
      <c r="AN49" s="34">
        <f>'Исходные данные'!$J54</f>
        <v>300</v>
      </c>
      <c r="AO49" s="34">
        <f>'Исходные данные'!$J54</f>
        <v>300</v>
      </c>
      <c r="AP49" s="34">
        <f>'Исходные данные'!$J54</f>
        <v>300</v>
      </c>
      <c r="AQ49" s="122">
        <f t="shared" si="61"/>
        <v>3600</v>
      </c>
      <c r="AR49" s="122">
        <f t="shared" si="62"/>
        <v>300</v>
      </c>
      <c r="AS49" s="129">
        <f t="shared" si="63"/>
        <v>10800</v>
      </c>
      <c r="AT49" s="35"/>
    </row>
    <row r="50" spans="1:46" s="39" customFormat="1" ht="11.25" x14ac:dyDescent="0.2">
      <c r="A50" s="65" t="str">
        <f>'Исходные данные'!B55</f>
        <v>Сервисное обслуживание техники и оборудования</v>
      </c>
      <c r="B50" s="25" t="str">
        <f>CHOOSE('Исходные данные'!$R$2,'Исходные данные'!$S$2,'Исходные данные'!$S$3,'Исходные данные'!$S$4,'Исходные данные'!$S$5)</f>
        <v>RUB</v>
      </c>
      <c r="C50" s="37">
        <f>'Исходные данные'!$J55</f>
        <v>950</v>
      </c>
      <c r="D50" s="37">
        <f>'Исходные данные'!$J55</f>
        <v>950</v>
      </c>
      <c r="E50" s="37">
        <f>'Исходные данные'!$J55</f>
        <v>950</v>
      </c>
      <c r="F50" s="37">
        <f>'Исходные данные'!$J55</f>
        <v>950</v>
      </c>
      <c r="G50" s="37">
        <f>'Исходные данные'!$J55</f>
        <v>950</v>
      </c>
      <c r="H50" s="37">
        <f>'Исходные данные'!$J55</f>
        <v>950</v>
      </c>
      <c r="I50" s="37">
        <f>'Исходные данные'!$J55</f>
        <v>950</v>
      </c>
      <c r="J50" s="37">
        <f>'Исходные данные'!$J55</f>
        <v>950</v>
      </c>
      <c r="K50" s="37">
        <f>'Исходные данные'!$J55</f>
        <v>950</v>
      </c>
      <c r="L50" s="37">
        <f>'Исходные данные'!$J55</f>
        <v>950</v>
      </c>
      <c r="M50" s="37">
        <f>'Исходные данные'!$J55</f>
        <v>950</v>
      </c>
      <c r="N50" s="37">
        <f>'Исходные данные'!$J55</f>
        <v>950</v>
      </c>
      <c r="O50" s="56">
        <f t="shared" ref="O50:O53" si="71">SUM(C50:N50)</f>
        <v>11400</v>
      </c>
      <c r="P50" s="56">
        <f t="shared" ref="P50:P54" si="72">O50/12</f>
        <v>950</v>
      </c>
      <c r="Q50" s="37">
        <f>'Исходные данные'!$J55</f>
        <v>950</v>
      </c>
      <c r="R50" s="37">
        <f>'Исходные данные'!$J55</f>
        <v>950</v>
      </c>
      <c r="S50" s="37">
        <f>'Исходные данные'!$J55</f>
        <v>950</v>
      </c>
      <c r="T50" s="37">
        <f>'Исходные данные'!$J55</f>
        <v>950</v>
      </c>
      <c r="U50" s="37">
        <f>'Исходные данные'!$J55</f>
        <v>950</v>
      </c>
      <c r="V50" s="37">
        <f>'Исходные данные'!$J55</f>
        <v>950</v>
      </c>
      <c r="W50" s="37">
        <f>'Исходные данные'!$J55</f>
        <v>950</v>
      </c>
      <c r="X50" s="37">
        <f>'Исходные данные'!$J55</f>
        <v>950</v>
      </c>
      <c r="Y50" s="37">
        <f>'Исходные данные'!$J55</f>
        <v>950</v>
      </c>
      <c r="Z50" s="37">
        <f>'Исходные данные'!$J55</f>
        <v>950</v>
      </c>
      <c r="AA50" s="37">
        <f>'Исходные данные'!$J55</f>
        <v>950</v>
      </c>
      <c r="AB50" s="37">
        <f>'Исходные данные'!$J55</f>
        <v>950</v>
      </c>
      <c r="AC50" s="56">
        <f t="shared" ref="AC50:AC53" si="73">SUM(Q50:AB50)</f>
        <v>11400</v>
      </c>
      <c r="AD50" s="56">
        <f t="shared" ref="AD50:AD54" si="74">AC50/12</f>
        <v>950</v>
      </c>
      <c r="AE50" s="37">
        <f>'Исходные данные'!$J55</f>
        <v>950</v>
      </c>
      <c r="AF50" s="37">
        <f>'Исходные данные'!$J55</f>
        <v>950</v>
      </c>
      <c r="AG50" s="37">
        <f>'Исходные данные'!$J55</f>
        <v>950</v>
      </c>
      <c r="AH50" s="37">
        <f>'Исходные данные'!$J55</f>
        <v>950</v>
      </c>
      <c r="AI50" s="37">
        <f>'Исходные данные'!$J55</f>
        <v>950</v>
      </c>
      <c r="AJ50" s="37">
        <f>'Исходные данные'!$J55</f>
        <v>950</v>
      </c>
      <c r="AK50" s="37">
        <f>'Исходные данные'!$J55</f>
        <v>950</v>
      </c>
      <c r="AL50" s="37">
        <f>'Исходные данные'!$J55</f>
        <v>950</v>
      </c>
      <c r="AM50" s="37">
        <f>'Исходные данные'!$J55</f>
        <v>950</v>
      </c>
      <c r="AN50" s="37">
        <f>'Исходные данные'!$J55</f>
        <v>950</v>
      </c>
      <c r="AO50" s="37">
        <f>'Исходные данные'!$J55</f>
        <v>950</v>
      </c>
      <c r="AP50" s="37">
        <f>'Исходные данные'!$J55</f>
        <v>950</v>
      </c>
      <c r="AQ50" s="56">
        <f t="shared" ref="AQ50:AQ53" si="75">SUM(AE50:AP50)</f>
        <v>11400</v>
      </c>
      <c r="AR50" s="56">
        <f t="shared" ref="AR50:AR54" si="76">AQ50/12</f>
        <v>950</v>
      </c>
      <c r="AS50" s="129">
        <f t="shared" ref="AS50:AS54" si="77">O50+AC50+AQ50</f>
        <v>34200</v>
      </c>
      <c r="AT50" s="38"/>
    </row>
    <row r="51" spans="1:46" s="36" customFormat="1" ht="11.25" x14ac:dyDescent="0.2">
      <c r="A51" s="64" t="str">
        <f>'Исходные данные'!B56</f>
        <v>Охрана</v>
      </c>
      <c r="B51" s="22" t="str">
        <f>CHOOSE('Исходные данные'!$R$2,'Исходные данные'!$S$2,'Исходные данные'!$S$3,'Исходные данные'!$S$4,'Исходные данные'!$S$5)</f>
        <v>RUB</v>
      </c>
      <c r="C51" s="34">
        <f>'Исходные данные'!$J56</f>
        <v>0</v>
      </c>
      <c r="D51" s="34">
        <f>'Исходные данные'!$J56</f>
        <v>0</v>
      </c>
      <c r="E51" s="34">
        <f>'Исходные данные'!$J56</f>
        <v>0</v>
      </c>
      <c r="F51" s="34">
        <f>'Исходные данные'!$J56</f>
        <v>0</v>
      </c>
      <c r="G51" s="34">
        <f>'Исходные данные'!$J56</f>
        <v>0</v>
      </c>
      <c r="H51" s="34">
        <f>'Исходные данные'!$J56</f>
        <v>0</v>
      </c>
      <c r="I51" s="34">
        <f>'Исходные данные'!$J56</f>
        <v>0</v>
      </c>
      <c r="J51" s="34">
        <f>'Исходные данные'!$J56</f>
        <v>0</v>
      </c>
      <c r="K51" s="34">
        <f>'Исходные данные'!$J56</f>
        <v>0</v>
      </c>
      <c r="L51" s="34">
        <f>'Исходные данные'!$J56</f>
        <v>0</v>
      </c>
      <c r="M51" s="34">
        <f>'Исходные данные'!$J56</f>
        <v>0</v>
      </c>
      <c r="N51" s="34">
        <f>'Исходные данные'!$J56</f>
        <v>0</v>
      </c>
      <c r="O51" s="122">
        <f t="shared" ref="O51" si="78">SUM(C51:N51)</f>
        <v>0</v>
      </c>
      <c r="P51" s="122">
        <f t="shared" ref="P51" si="79">O51/12</f>
        <v>0</v>
      </c>
      <c r="Q51" s="34">
        <f>'Исходные данные'!$J56</f>
        <v>0</v>
      </c>
      <c r="R51" s="34">
        <f>'Исходные данные'!$J56</f>
        <v>0</v>
      </c>
      <c r="S51" s="34">
        <f>'Исходные данные'!$J56</f>
        <v>0</v>
      </c>
      <c r="T51" s="34">
        <f>'Исходные данные'!$J56</f>
        <v>0</v>
      </c>
      <c r="U51" s="34">
        <f>'Исходные данные'!$J56</f>
        <v>0</v>
      </c>
      <c r="V51" s="34">
        <f>'Исходные данные'!$J56</f>
        <v>0</v>
      </c>
      <c r="W51" s="34">
        <f>'Исходные данные'!$J56</f>
        <v>0</v>
      </c>
      <c r="X51" s="34">
        <f>'Исходные данные'!$J56</f>
        <v>0</v>
      </c>
      <c r="Y51" s="34">
        <f>'Исходные данные'!$J56</f>
        <v>0</v>
      </c>
      <c r="Z51" s="34">
        <f>'Исходные данные'!$J56</f>
        <v>0</v>
      </c>
      <c r="AA51" s="34">
        <f>'Исходные данные'!$J56</f>
        <v>0</v>
      </c>
      <c r="AB51" s="34">
        <f>'Исходные данные'!$J56</f>
        <v>0</v>
      </c>
      <c r="AC51" s="122">
        <f t="shared" ref="AC51" si="80">SUM(Q51:AB51)</f>
        <v>0</v>
      </c>
      <c r="AD51" s="122">
        <f t="shared" ref="AD51" si="81">AC51/12</f>
        <v>0</v>
      </c>
      <c r="AE51" s="34">
        <f>'Исходные данные'!$J56</f>
        <v>0</v>
      </c>
      <c r="AF51" s="34">
        <f>'Исходные данные'!$J56</f>
        <v>0</v>
      </c>
      <c r="AG51" s="34">
        <f>'Исходные данные'!$J56</f>
        <v>0</v>
      </c>
      <c r="AH51" s="34">
        <f>'Исходные данные'!$J56</f>
        <v>0</v>
      </c>
      <c r="AI51" s="34">
        <f>'Исходные данные'!$J56</f>
        <v>0</v>
      </c>
      <c r="AJ51" s="34">
        <f>'Исходные данные'!$J56</f>
        <v>0</v>
      </c>
      <c r="AK51" s="34">
        <f>'Исходные данные'!$J56</f>
        <v>0</v>
      </c>
      <c r="AL51" s="34">
        <f>'Исходные данные'!$J56</f>
        <v>0</v>
      </c>
      <c r="AM51" s="34">
        <f>'Исходные данные'!$J56</f>
        <v>0</v>
      </c>
      <c r="AN51" s="34">
        <f>'Исходные данные'!$J56</f>
        <v>0</v>
      </c>
      <c r="AO51" s="34">
        <f>'Исходные данные'!$J56</f>
        <v>0</v>
      </c>
      <c r="AP51" s="34">
        <f>'Исходные данные'!$J56</f>
        <v>0</v>
      </c>
      <c r="AQ51" s="122">
        <f t="shared" ref="AQ51" si="82">SUM(AE51:AP51)</f>
        <v>0</v>
      </c>
      <c r="AR51" s="122">
        <f t="shared" ref="AR51" si="83">AQ51/12</f>
        <v>0</v>
      </c>
      <c r="AS51" s="129">
        <f t="shared" ref="AS51" si="84">O51+AC51+AQ51</f>
        <v>0</v>
      </c>
      <c r="AT51" s="35"/>
    </row>
    <row r="52" spans="1:46" s="39" customFormat="1" ht="11.25" x14ac:dyDescent="0.2">
      <c r="A52" s="65" t="str">
        <f>'Исходные данные'!B57</f>
        <v>Транспортные расходы</v>
      </c>
      <c r="B52" s="25" t="str">
        <f>CHOOSE('Исходные данные'!$R$2,'Исходные данные'!$S$2,'Исходные данные'!$S$3,'Исходные данные'!$S$4,'Исходные данные'!$S$5)</f>
        <v>RUB</v>
      </c>
      <c r="C52" s="37">
        <f>C29*'Исходные данные'!$D$57</f>
        <v>2196.969696969697</v>
      </c>
      <c r="D52" s="37">
        <f>D29*'Исходные данные'!$D$57</f>
        <v>4443.939393939394</v>
      </c>
      <c r="E52" s="37">
        <f>E29*'Исходные данные'!$D$57</f>
        <v>13284.441980783444</v>
      </c>
      <c r="F52" s="37">
        <f>F29*'Исходные данные'!$D$57</f>
        <v>8450.6651884700659</v>
      </c>
      <c r="G52" s="37">
        <f>G29*'Исходные данные'!$D$57</f>
        <v>6023.6141906873618</v>
      </c>
      <c r="H52" s="37">
        <f>H29*'Исходные данные'!$D$57</f>
        <v>2906.8070953436809</v>
      </c>
      <c r="I52" s="37">
        <f>I29*'Исходные данные'!$D$57</f>
        <v>2736.8883961566889</v>
      </c>
      <c r="J52" s="37">
        <f>J29*'Исходные данные'!$D$57</f>
        <v>8000.6651884700659</v>
      </c>
      <c r="K52" s="37">
        <f>K29*'Исходные данные'!$D$57</f>
        <v>4843.939393939394</v>
      </c>
      <c r="L52" s="37">
        <f>L29*'Исходные данные'!$D$57</f>
        <v>2246.969696969697</v>
      </c>
      <c r="M52" s="37">
        <f>M29*'Исходные данные'!$D$57</f>
        <v>1318.1818181818182</v>
      </c>
      <c r="N52" s="37">
        <f>N29*'Исходные данные'!$D$57</f>
        <v>1318.1818181818182</v>
      </c>
      <c r="O52" s="56">
        <f t="shared" si="71"/>
        <v>57771.263858093123</v>
      </c>
      <c r="P52" s="56">
        <f t="shared" si="72"/>
        <v>4814.271988174427</v>
      </c>
      <c r="Q52" s="37">
        <f>Q29*'Исходные данные'!$D$57</f>
        <v>2196.969696969697</v>
      </c>
      <c r="R52" s="37">
        <f>R29*'Исходные данные'!$D$57</f>
        <v>4443.939393939394</v>
      </c>
      <c r="S52" s="37">
        <f>S29*'Исходные данные'!$D$57</f>
        <v>13284.441980783444</v>
      </c>
      <c r="T52" s="37">
        <f>T29*'Исходные данные'!$D$57</f>
        <v>8450.6651884700659</v>
      </c>
      <c r="U52" s="37">
        <f>U29*'Исходные данные'!$D$57</f>
        <v>6023.6141906873618</v>
      </c>
      <c r="V52" s="37">
        <f>V29*'Исходные данные'!$D$57</f>
        <v>2906.8070953436809</v>
      </c>
      <c r="W52" s="37">
        <f>W29*'Исходные данные'!$D$57</f>
        <v>2736.8883961566889</v>
      </c>
      <c r="X52" s="37">
        <f>X29*'Исходные данные'!$D$57</f>
        <v>8000.6651884700659</v>
      </c>
      <c r="Y52" s="37">
        <f>Y29*'Исходные данные'!$D$57</f>
        <v>4843.939393939394</v>
      </c>
      <c r="Z52" s="37">
        <f>Z29*'Исходные данные'!$D$57</f>
        <v>2246.969696969697</v>
      </c>
      <c r="AA52" s="37">
        <f>AA29*'Исходные данные'!$D$57</f>
        <v>1318.1818181818182</v>
      </c>
      <c r="AB52" s="37">
        <f>AB29*'Исходные данные'!$D$57</f>
        <v>1318.1818181818182</v>
      </c>
      <c r="AC52" s="56">
        <f t="shared" si="73"/>
        <v>57771.263858093123</v>
      </c>
      <c r="AD52" s="56">
        <f t="shared" si="74"/>
        <v>4814.271988174427</v>
      </c>
      <c r="AE52" s="37">
        <f>AE29*'Исходные данные'!$D$57</f>
        <v>2196.969696969697</v>
      </c>
      <c r="AF52" s="37">
        <f>AF29*'Исходные данные'!$D$57</f>
        <v>4443.939393939394</v>
      </c>
      <c r="AG52" s="37">
        <f>AG29*'Исходные данные'!$D$57</f>
        <v>13284.441980783444</v>
      </c>
      <c r="AH52" s="37">
        <f>AH29*'Исходные данные'!$D$57</f>
        <v>8450.6651884700659</v>
      </c>
      <c r="AI52" s="37">
        <f>AI29*'Исходные данные'!$D$57</f>
        <v>6023.6141906873618</v>
      </c>
      <c r="AJ52" s="37">
        <f>AJ29*'Исходные данные'!$D$57</f>
        <v>2906.8070953436809</v>
      </c>
      <c r="AK52" s="37">
        <f>AK29*'Исходные данные'!$D$57</f>
        <v>2736.8883961566889</v>
      </c>
      <c r="AL52" s="37">
        <f>AL29*'Исходные данные'!$D$57</f>
        <v>8000.6651884700659</v>
      </c>
      <c r="AM52" s="37">
        <f>AM29*'Исходные данные'!$D$57</f>
        <v>4843.939393939394</v>
      </c>
      <c r="AN52" s="37">
        <f>AN29*'Исходные данные'!$D$57</f>
        <v>2246.969696969697</v>
      </c>
      <c r="AO52" s="37">
        <f>AO29*'Исходные данные'!$D$57</f>
        <v>1318.1818181818182</v>
      </c>
      <c r="AP52" s="37">
        <f>AP29*'Исходные данные'!$D$57</f>
        <v>1318.1818181818182</v>
      </c>
      <c r="AQ52" s="56">
        <f t="shared" si="75"/>
        <v>57771.263858093123</v>
      </c>
      <c r="AR52" s="56">
        <f t="shared" si="76"/>
        <v>4814.271988174427</v>
      </c>
      <c r="AS52" s="129">
        <f t="shared" si="77"/>
        <v>173313.79157427937</v>
      </c>
      <c r="AT52" s="38"/>
    </row>
    <row r="53" spans="1:46" s="36" customFormat="1" ht="11.25" x14ac:dyDescent="0.2">
      <c r="A53" s="64" t="str">
        <f>'Исходные данные'!B58</f>
        <v>Услуги связи и интернет</v>
      </c>
      <c r="B53" s="22" t="str">
        <f>CHOOSE('Исходные данные'!$R$2,'Исходные данные'!$S$2,'Исходные данные'!$S$3,'Исходные данные'!$S$4,'Исходные данные'!$S$5)</f>
        <v>RUB</v>
      </c>
      <c r="C53" s="34">
        <f>'Исходные данные'!$J58</f>
        <v>3000</v>
      </c>
      <c r="D53" s="34">
        <f>'Исходные данные'!$J58</f>
        <v>3000</v>
      </c>
      <c r="E53" s="34">
        <f>'Исходные данные'!$J58</f>
        <v>3000</v>
      </c>
      <c r="F53" s="34">
        <f>'Исходные данные'!$J58</f>
        <v>3000</v>
      </c>
      <c r="G53" s="34">
        <f>'Исходные данные'!$J58</f>
        <v>3000</v>
      </c>
      <c r="H53" s="34">
        <f>'Исходные данные'!$J58</f>
        <v>3000</v>
      </c>
      <c r="I53" s="34">
        <f>'Исходные данные'!$J58</f>
        <v>3000</v>
      </c>
      <c r="J53" s="34">
        <f>'Исходные данные'!$J58</f>
        <v>3000</v>
      </c>
      <c r="K53" s="34">
        <f>'Исходные данные'!$J58</f>
        <v>3000</v>
      </c>
      <c r="L53" s="34">
        <f>'Исходные данные'!$J58</f>
        <v>3000</v>
      </c>
      <c r="M53" s="34">
        <f>'Исходные данные'!$J58</f>
        <v>3000</v>
      </c>
      <c r="N53" s="34">
        <f>'Исходные данные'!$J58</f>
        <v>3000</v>
      </c>
      <c r="O53" s="122">
        <f t="shared" si="71"/>
        <v>36000</v>
      </c>
      <c r="P53" s="122">
        <f t="shared" si="72"/>
        <v>3000</v>
      </c>
      <c r="Q53" s="34">
        <f>'Исходные данные'!$J58</f>
        <v>3000</v>
      </c>
      <c r="R53" s="34">
        <f>'Исходные данные'!$J58</f>
        <v>3000</v>
      </c>
      <c r="S53" s="34">
        <f>'Исходные данные'!$J58</f>
        <v>3000</v>
      </c>
      <c r="T53" s="34">
        <f>'Исходные данные'!$J58</f>
        <v>3000</v>
      </c>
      <c r="U53" s="34">
        <f>'Исходные данные'!$J58</f>
        <v>3000</v>
      </c>
      <c r="V53" s="34">
        <f>'Исходные данные'!$J58</f>
        <v>3000</v>
      </c>
      <c r="W53" s="34">
        <f>'Исходные данные'!$J58</f>
        <v>3000</v>
      </c>
      <c r="X53" s="34">
        <f>'Исходные данные'!$J58</f>
        <v>3000</v>
      </c>
      <c r="Y53" s="34">
        <f>'Исходные данные'!$J58</f>
        <v>3000</v>
      </c>
      <c r="Z53" s="34">
        <f>'Исходные данные'!$J58</f>
        <v>3000</v>
      </c>
      <c r="AA53" s="34">
        <f>'Исходные данные'!$J58</f>
        <v>3000</v>
      </c>
      <c r="AB53" s="34">
        <f>'Исходные данные'!$J58</f>
        <v>3000</v>
      </c>
      <c r="AC53" s="122">
        <f t="shared" si="73"/>
        <v>36000</v>
      </c>
      <c r="AD53" s="122">
        <f t="shared" si="74"/>
        <v>3000</v>
      </c>
      <c r="AE53" s="34">
        <f>'Исходные данные'!$J58</f>
        <v>3000</v>
      </c>
      <c r="AF53" s="34">
        <f>'Исходные данные'!$J58</f>
        <v>3000</v>
      </c>
      <c r="AG53" s="34">
        <f>'Исходные данные'!$J58</f>
        <v>3000</v>
      </c>
      <c r="AH53" s="34">
        <f>'Исходные данные'!$J58</f>
        <v>3000</v>
      </c>
      <c r="AI53" s="34">
        <f>'Исходные данные'!$J58</f>
        <v>3000</v>
      </c>
      <c r="AJ53" s="34">
        <f>'Исходные данные'!$J58</f>
        <v>3000</v>
      </c>
      <c r="AK53" s="34">
        <f>'Исходные данные'!$J58</f>
        <v>3000</v>
      </c>
      <c r="AL53" s="34">
        <f>'Исходные данные'!$J58</f>
        <v>3000</v>
      </c>
      <c r="AM53" s="34">
        <f>'Исходные данные'!$J58</f>
        <v>3000</v>
      </c>
      <c r="AN53" s="34">
        <f>'Исходные данные'!$J58</f>
        <v>3000</v>
      </c>
      <c r="AO53" s="34">
        <f>'Исходные данные'!$J58</f>
        <v>3000</v>
      </c>
      <c r="AP53" s="34">
        <f>'Исходные данные'!$J58</f>
        <v>3000</v>
      </c>
      <c r="AQ53" s="122">
        <f t="shared" si="75"/>
        <v>36000</v>
      </c>
      <c r="AR53" s="122">
        <f t="shared" si="76"/>
        <v>3000</v>
      </c>
      <c r="AS53" s="129">
        <f t="shared" si="77"/>
        <v>108000</v>
      </c>
      <c r="AT53" s="35"/>
    </row>
    <row r="54" spans="1:46" s="39" customFormat="1" ht="11.25" x14ac:dyDescent="0.2">
      <c r="A54" s="65" t="str">
        <f>'Исходные данные'!B59</f>
        <v>Налоги</v>
      </c>
      <c r="B54" s="25" t="str">
        <f>CHOOSE('Исходные данные'!$R$2,'Исходные данные'!$S$2,'Исходные данные'!$S$3,'Исходные данные'!$S$4,'Исходные данные'!$S$5)</f>
        <v>RUB</v>
      </c>
      <c r="C54" s="37">
        <f>'Исходные данные'!$J59</f>
        <v>0</v>
      </c>
      <c r="D54" s="37">
        <f>'Исходные данные'!$J59</f>
        <v>0</v>
      </c>
      <c r="E54" s="37">
        <f>'Исходные данные'!$J59</f>
        <v>0</v>
      </c>
      <c r="F54" s="37">
        <f>'Исходные данные'!$J59</f>
        <v>0</v>
      </c>
      <c r="G54" s="37">
        <f>'Исходные данные'!$J59</f>
        <v>0</v>
      </c>
      <c r="H54" s="37">
        <f>'Исходные данные'!$J59</f>
        <v>0</v>
      </c>
      <c r="I54" s="37">
        <f>'Исходные данные'!$J59</f>
        <v>0</v>
      </c>
      <c r="J54" s="37">
        <f>'Исходные данные'!$J59</f>
        <v>0</v>
      </c>
      <c r="K54" s="37">
        <f>'Исходные данные'!$J59</f>
        <v>0</v>
      </c>
      <c r="L54" s="37">
        <f>'Исходные данные'!$J59</f>
        <v>0</v>
      </c>
      <c r="M54" s="37">
        <f>'Исходные данные'!$J59</f>
        <v>0</v>
      </c>
      <c r="N54" s="37">
        <f>'Исходные данные'!$J59</f>
        <v>0</v>
      </c>
      <c r="O54" s="56">
        <f t="shared" ref="O54" si="85">SUM(C54:N54)</f>
        <v>0</v>
      </c>
      <c r="P54" s="56">
        <f t="shared" si="72"/>
        <v>0</v>
      </c>
      <c r="Q54" s="37">
        <f>'Исходные данные'!$J59</f>
        <v>0</v>
      </c>
      <c r="R54" s="37">
        <f>'Исходные данные'!$J59</f>
        <v>0</v>
      </c>
      <c r="S54" s="37">
        <f>'Исходные данные'!$J59</f>
        <v>0</v>
      </c>
      <c r="T54" s="37">
        <f>'Исходные данные'!$J59</f>
        <v>0</v>
      </c>
      <c r="U54" s="37">
        <f>'Исходные данные'!$J59</f>
        <v>0</v>
      </c>
      <c r="V54" s="37">
        <f>'Исходные данные'!$J59</f>
        <v>0</v>
      </c>
      <c r="W54" s="37">
        <f>'Исходные данные'!$J59</f>
        <v>0</v>
      </c>
      <c r="X54" s="37">
        <f>'Исходные данные'!$J59</f>
        <v>0</v>
      </c>
      <c r="Y54" s="37">
        <f>'Исходные данные'!$J59</f>
        <v>0</v>
      </c>
      <c r="Z54" s="37">
        <f>'Исходные данные'!$J59</f>
        <v>0</v>
      </c>
      <c r="AA54" s="37">
        <f>'Исходные данные'!$J59</f>
        <v>0</v>
      </c>
      <c r="AB54" s="37">
        <f>'Исходные данные'!$J59</f>
        <v>0</v>
      </c>
      <c r="AC54" s="56">
        <f t="shared" ref="AC54" si="86">SUM(Q54:AB54)</f>
        <v>0</v>
      </c>
      <c r="AD54" s="56">
        <f t="shared" si="74"/>
        <v>0</v>
      </c>
      <c r="AE54" s="37">
        <f>'Исходные данные'!$J59</f>
        <v>0</v>
      </c>
      <c r="AF54" s="37">
        <f>'Исходные данные'!$J59</f>
        <v>0</v>
      </c>
      <c r="AG54" s="37">
        <f>'Исходные данные'!$J59</f>
        <v>0</v>
      </c>
      <c r="AH54" s="37">
        <f>'Исходные данные'!$J59</f>
        <v>0</v>
      </c>
      <c r="AI54" s="37">
        <f>'Исходные данные'!$J59</f>
        <v>0</v>
      </c>
      <c r="AJ54" s="37">
        <f>'Исходные данные'!$J59</f>
        <v>0</v>
      </c>
      <c r="AK54" s="37">
        <f>'Исходные данные'!$J59</f>
        <v>0</v>
      </c>
      <c r="AL54" s="37">
        <f>'Исходные данные'!$J59</f>
        <v>0</v>
      </c>
      <c r="AM54" s="37">
        <f>'Исходные данные'!$J59</f>
        <v>0</v>
      </c>
      <c r="AN54" s="37">
        <f>'Исходные данные'!$J59</f>
        <v>0</v>
      </c>
      <c r="AO54" s="37">
        <f>'Исходные данные'!$J59</f>
        <v>0</v>
      </c>
      <c r="AP54" s="37">
        <f>'Исходные данные'!$J59</f>
        <v>0</v>
      </c>
      <c r="AQ54" s="56">
        <f t="shared" ref="AQ54" si="87">SUM(AE54:AP54)</f>
        <v>0</v>
      </c>
      <c r="AR54" s="56">
        <f t="shared" si="76"/>
        <v>0</v>
      </c>
      <c r="AS54" s="129">
        <f t="shared" si="77"/>
        <v>0</v>
      </c>
      <c r="AT54" s="38"/>
    </row>
    <row r="55" spans="1:46" s="36" customFormat="1" ht="11.25" x14ac:dyDescent="0.2">
      <c r="A55" s="64" t="str">
        <f>'Исходные данные'!B60</f>
        <v>Банковское обслуживание</v>
      </c>
      <c r="B55" s="22" t="str">
        <f>CHOOSE('Исходные данные'!$R$2,'Исходные данные'!$S$2,'Исходные данные'!$S$3,'Исходные данные'!$S$4,'Исходные данные'!$S$5)</f>
        <v>RUB</v>
      </c>
      <c r="C55" s="34">
        <f>'Исходные данные'!$J60</f>
        <v>0</v>
      </c>
      <c r="D55" s="34">
        <f>'Исходные данные'!$J60</f>
        <v>0</v>
      </c>
      <c r="E55" s="34">
        <f>'Исходные данные'!$J60</f>
        <v>0</v>
      </c>
      <c r="F55" s="34">
        <f>'Исходные данные'!$J60</f>
        <v>0</v>
      </c>
      <c r="G55" s="34">
        <f>'Исходные данные'!$J60</f>
        <v>0</v>
      </c>
      <c r="H55" s="34">
        <f>'Исходные данные'!$J60</f>
        <v>0</v>
      </c>
      <c r="I55" s="34">
        <f>'Исходные данные'!$J60</f>
        <v>0</v>
      </c>
      <c r="J55" s="34">
        <f>'Исходные данные'!$J60</f>
        <v>0</v>
      </c>
      <c r="K55" s="34">
        <f>'Исходные данные'!$J60</f>
        <v>0</v>
      </c>
      <c r="L55" s="34">
        <f>'Исходные данные'!$J60</f>
        <v>0</v>
      </c>
      <c r="M55" s="34">
        <f>'Исходные данные'!$J60</f>
        <v>0</v>
      </c>
      <c r="N55" s="34">
        <f>'Исходные данные'!$J60</f>
        <v>0</v>
      </c>
      <c r="O55" s="122">
        <f t="shared" ref="O55" si="88">SUM(C55:N55)</f>
        <v>0</v>
      </c>
      <c r="P55" s="122">
        <f t="shared" ref="P55" si="89">O55/12</f>
        <v>0</v>
      </c>
      <c r="Q55" s="34">
        <f>'Исходные данные'!$J60</f>
        <v>0</v>
      </c>
      <c r="R55" s="34">
        <f>'Исходные данные'!$J60</f>
        <v>0</v>
      </c>
      <c r="S55" s="34">
        <f>'Исходные данные'!$J60</f>
        <v>0</v>
      </c>
      <c r="T55" s="34">
        <f>'Исходные данные'!$J60</f>
        <v>0</v>
      </c>
      <c r="U55" s="34">
        <f>'Исходные данные'!$J60</f>
        <v>0</v>
      </c>
      <c r="V55" s="34">
        <f>'Исходные данные'!$J60</f>
        <v>0</v>
      </c>
      <c r="W55" s="34">
        <f>'Исходные данные'!$J60</f>
        <v>0</v>
      </c>
      <c r="X55" s="34">
        <f>'Исходные данные'!$J60</f>
        <v>0</v>
      </c>
      <c r="Y55" s="34">
        <f>'Исходные данные'!$J60</f>
        <v>0</v>
      </c>
      <c r="Z55" s="34">
        <f>'Исходные данные'!$J60</f>
        <v>0</v>
      </c>
      <c r="AA55" s="34">
        <f>'Исходные данные'!$J60</f>
        <v>0</v>
      </c>
      <c r="AB55" s="34">
        <f>'Исходные данные'!$J60</f>
        <v>0</v>
      </c>
      <c r="AC55" s="122">
        <f t="shared" ref="AC55" si="90">SUM(Q55:AB55)</f>
        <v>0</v>
      </c>
      <c r="AD55" s="122">
        <f t="shared" ref="AD55" si="91">AC55/12</f>
        <v>0</v>
      </c>
      <c r="AE55" s="34">
        <f>'Исходные данные'!$J60</f>
        <v>0</v>
      </c>
      <c r="AF55" s="34">
        <f>'Исходные данные'!$J60</f>
        <v>0</v>
      </c>
      <c r="AG55" s="34">
        <f>'Исходные данные'!$J60</f>
        <v>0</v>
      </c>
      <c r="AH55" s="34">
        <f>'Исходные данные'!$J60</f>
        <v>0</v>
      </c>
      <c r="AI55" s="34">
        <f>'Исходные данные'!$J60</f>
        <v>0</v>
      </c>
      <c r="AJ55" s="34">
        <f>'Исходные данные'!$J60</f>
        <v>0</v>
      </c>
      <c r="AK55" s="34">
        <f>'Исходные данные'!$J60</f>
        <v>0</v>
      </c>
      <c r="AL55" s="34">
        <f>'Исходные данные'!$J60</f>
        <v>0</v>
      </c>
      <c r="AM55" s="34">
        <f>'Исходные данные'!$J60</f>
        <v>0</v>
      </c>
      <c r="AN55" s="34">
        <f>'Исходные данные'!$J60</f>
        <v>0</v>
      </c>
      <c r="AO55" s="34">
        <f>'Исходные данные'!$J60</f>
        <v>0</v>
      </c>
      <c r="AP55" s="34">
        <f>'Исходные данные'!$J60</f>
        <v>0</v>
      </c>
      <c r="AQ55" s="122">
        <f t="shared" ref="AQ55" si="92">SUM(AE55:AP55)</f>
        <v>0</v>
      </c>
      <c r="AR55" s="122">
        <f t="shared" ref="AR55" si="93">AQ55/12</f>
        <v>0</v>
      </c>
      <c r="AS55" s="129">
        <f t="shared" ref="AS55" si="94">O55+AC55+AQ55</f>
        <v>0</v>
      </c>
      <c r="AT55" s="35"/>
    </row>
    <row r="56" spans="1:46" s="39" customFormat="1" ht="11.25" x14ac:dyDescent="0.2">
      <c r="A56" s="65" t="str">
        <f>'Исходные данные'!B61</f>
        <v>Местная реклама (билборд, печатная продукция и т.д.)</v>
      </c>
      <c r="B56" s="25" t="str">
        <f>CHOOSE('Исходные данные'!$R$2,'Исходные данные'!$S$2,'Исходные данные'!$S$3,'Исходные данные'!$S$4,'Исходные данные'!$S$5)</f>
        <v>RUB</v>
      </c>
      <c r="C56" s="37">
        <f>'Исходные данные'!$J61</f>
        <v>0</v>
      </c>
      <c r="D56" s="37">
        <f>'Исходные данные'!$J61</f>
        <v>0</v>
      </c>
      <c r="E56" s="37">
        <f>'Исходные данные'!$J61</f>
        <v>0</v>
      </c>
      <c r="F56" s="37">
        <f>'Исходные данные'!$J61</f>
        <v>0</v>
      </c>
      <c r="G56" s="37">
        <f>'Исходные данные'!$J61</f>
        <v>0</v>
      </c>
      <c r="H56" s="37">
        <f>'Исходные данные'!$J61</f>
        <v>0</v>
      </c>
      <c r="I56" s="37">
        <f>'Исходные данные'!$J61</f>
        <v>0</v>
      </c>
      <c r="J56" s="37">
        <f>'Исходные данные'!$J61</f>
        <v>0</v>
      </c>
      <c r="K56" s="37">
        <f>'Исходные данные'!$J61</f>
        <v>0</v>
      </c>
      <c r="L56" s="37">
        <f>'Исходные данные'!$J61</f>
        <v>0</v>
      </c>
      <c r="M56" s="37">
        <f>'Исходные данные'!$J61</f>
        <v>0</v>
      </c>
      <c r="N56" s="37">
        <f>'Исходные данные'!$J61</f>
        <v>0</v>
      </c>
      <c r="O56" s="56">
        <f t="shared" si="57"/>
        <v>0</v>
      </c>
      <c r="P56" s="56">
        <f t="shared" si="58"/>
        <v>0</v>
      </c>
      <c r="Q56" s="37">
        <f>'Исходные данные'!$J61</f>
        <v>0</v>
      </c>
      <c r="R56" s="37">
        <f>'Исходные данные'!$J61</f>
        <v>0</v>
      </c>
      <c r="S56" s="37">
        <f>'Исходные данные'!$J61</f>
        <v>0</v>
      </c>
      <c r="T56" s="37">
        <f>'Исходные данные'!$J61</f>
        <v>0</v>
      </c>
      <c r="U56" s="37">
        <f>'Исходные данные'!$J61</f>
        <v>0</v>
      </c>
      <c r="V56" s="37">
        <f>'Исходные данные'!$J61</f>
        <v>0</v>
      </c>
      <c r="W56" s="37">
        <f>'Исходные данные'!$J61</f>
        <v>0</v>
      </c>
      <c r="X56" s="37">
        <f>'Исходные данные'!$J61</f>
        <v>0</v>
      </c>
      <c r="Y56" s="37">
        <f>'Исходные данные'!$J61</f>
        <v>0</v>
      </c>
      <c r="Z56" s="37">
        <f>'Исходные данные'!$J61</f>
        <v>0</v>
      </c>
      <c r="AA56" s="37">
        <f>'Исходные данные'!$J61</f>
        <v>0</v>
      </c>
      <c r="AB56" s="37">
        <f>'Исходные данные'!$J61</f>
        <v>0</v>
      </c>
      <c r="AC56" s="56">
        <f t="shared" si="59"/>
        <v>0</v>
      </c>
      <c r="AD56" s="56">
        <f t="shared" si="60"/>
        <v>0</v>
      </c>
      <c r="AE56" s="37">
        <f>'Исходные данные'!$J61</f>
        <v>0</v>
      </c>
      <c r="AF56" s="37">
        <f>'Исходные данные'!$J61</f>
        <v>0</v>
      </c>
      <c r="AG56" s="37">
        <f>'Исходные данные'!$J61</f>
        <v>0</v>
      </c>
      <c r="AH56" s="37">
        <f>'Исходные данные'!$J61</f>
        <v>0</v>
      </c>
      <c r="AI56" s="37">
        <f>'Исходные данные'!$J61</f>
        <v>0</v>
      </c>
      <c r="AJ56" s="37">
        <f>'Исходные данные'!$J61</f>
        <v>0</v>
      </c>
      <c r="AK56" s="37">
        <f>'Исходные данные'!$J61</f>
        <v>0</v>
      </c>
      <c r="AL56" s="37">
        <f>'Исходные данные'!$J61</f>
        <v>0</v>
      </c>
      <c r="AM56" s="37">
        <f>'Исходные данные'!$J61</f>
        <v>0</v>
      </c>
      <c r="AN56" s="37">
        <f>'Исходные данные'!$J61</f>
        <v>0</v>
      </c>
      <c r="AO56" s="37">
        <f>'Исходные данные'!$J61</f>
        <v>0</v>
      </c>
      <c r="AP56" s="37">
        <f>'Исходные данные'!$J61</f>
        <v>0</v>
      </c>
      <c r="AQ56" s="56">
        <f t="shared" si="61"/>
        <v>0</v>
      </c>
      <c r="AR56" s="56">
        <f t="shared" si="62"/>
        <v>0</v>
      </c>
      <c r="AS56" s="129">
        <f t="shared" si="63"/>
        <v>0</v>
      </c>
      <c r="AT56" s="38"/>
    </row>
    <row r="57" spans="1:46" s="36" customFormat="1" ht="11.25" x14ac:dyDescent="0.2">
      <c r="A57" s="64" t="str">
        <f>'Исходные данные'!B62</f>
        <v>Прочее</v>
      </c>
      <c r="B57" s="22" t="str">
        <f>CHOOSE('Исходные данные'!$R$2,'Исходные данные'!$S$2,'Исходные данные'!$S$3,'Исходные данные'!$S$4,'Исходные данные'!$S$5)</f>
        <v>RUB</v>
      </c>
      <c r="C57" s="34">
        <f>'Исходные данные'!$J62</f>
        <v>0</v>
      </c>
      <c r="D57" s="34">
        <f>'Исходные данные'!$J62</f>
        <v>0</v>
      </c>
      <c r="E57" s="34">
        <f>'Исходные данные'!$J62</f>
        <v>0</v>
      </c>
      <c r="F57" s="34">
        <f>'Исходные данные'!$J62</f>
        <v>0</v>
      </c>
      <c r="G57" s="34">
        <f>'Исходные данные'!$J62</f>
        <v>0</v>
      </c>
      <c r="H57" s="34">
        <f>'Исходные данные'!$J62</f>
        <v>0</v>
      </c>
      <c r="I57" s="34">
        <f>'Исходные данные'!$J62</f>
        <v>0</v>
      </c>
      <c r="J57" s="34">
        <f>'Исходные данные'!$J62</f>
        <v>0</v>
      </c>
      <c r="K57" s="34">
        <f>'Исходные данные'!$J62</f>
        <v>0</v>
      </c>
      <c r="L57" s="34">
        <f>'Исходные данные'!$J62</f>
        <v>0</v>
      </c>
      <c r="M57" s="34">
        <f>'Исходные данные'!$J62</f>
        <v>0</v>
      </c>
      <c r="N57" s="34">
        <f>'Исходные данные'!$J62</f>
        <v>0</v>
      </c>
      <c r="O57" s="122">
        <f t="shared" si="57"/>
        <v>0</v>
      </c>
      <c r="P57" s="122">
        <f t="shared" si="58"/>
        <v>0</v>
      </c>
      <c r="Q57" s="34">
        <f>'Исходные данные'!$J62</f>
        <v>0</v>
      </c>
      <c r="R57" s="34">
        <f>'Исходные данные'!$J62</f>
        <v>0</v>
      </c>
      <c r="S57" s="34">
        <f>'Исходные данные'!$J62</f>
        <v>0</v>
      </c>
      <c r="T57" s="34">
        <f>'Исходные данные'!$J62</f>
        <v>0</v>
      </c>
      <c r="U57" s="34">
        <f>'Исходные данные'!$J62</f>
        <v>0</v>
      </c>
      <c r="V57" s="34">
        <f>'Исходные данные'!$J62</f>
        <v>0</v>
      </c>
      <c r="W57" s="34">
        <f>'Исходные данные'!$J62</f>
        <v>0</v>
      </c>
      <c r="X57" s="34">
        <f>'Исходные данные'!$J62</f>
        <v>0</v>
      </c>
      <c r="Y57" s="34">
        <f>'Исходные данные'!$J62</f>
        <v>0</v>
      </c>
      <c r="Z57" s="34">
        <f>'Исходные данные'!$J62</f>
        <v>0</v>
      </c>
      <c r="AA57" s="34">
        <f>'Исходные данные'!$J62</f>
        <v>0</v>
      </c>
      <c r="AB57" s="34">
        <f>'Исходные данные'!$J62</f>
        <v>0</v>
      </c>
      <c r="AC57" s="122">
        <f t="shared" si="59"/>
        <v>0</v>
      </c>
      <c r="AD57" s="122">
        <f t="shared" si="60"/>
        <v>0</v>
      </c>
      <c r="AE57" s="34">
        <f>'Исходные данные'!$J62</f>
        <v>0</v>
      </c>
      <c r="AF57" s="34">
        <f>'Исходные данные'!$J62</f>
        <v>0</v>
      </c>
      <c r="AG57" s="34">
        <f>'Исходные данные'!$J62</f>
        <v>0</v>
      </c>
      <c r="AH57" s="34">
        <f>'Исходные данные'!$J62</f>
        <v>0</v>
      </c>
      <c r="AI57" s="34">
        <f>'Исходные данные'!$J62</f>
        <v>0</v>
      </c>
      <c r="AJ57" s="34">
        <f>'Исходные данные'!$J62</f>
        <v>0</v>
      </c>
      <c r="AK57" s="34">
        <f>'Исходные данные'!$J62</f>
        <v>0</v>
      </c>
      <c r="AL57" s="34">
        <f>'Исходные данные'!$J62</f>
        <v>0</v>
      </c>
      <c r="AM57" s="34">
        <f>'Исходные данные'!$J62</f>
        <v>0</v>
      </c>
      <c r="AN57" s="34">
        <f>'Исходные данные'!$J62</f>
        <v>0</v>
      </c>
      <c r="AO57" s="34">
        <f>'Исходные данные'!$J62</f>
        <v>0</v>
      </c>
      <c r="AP57" s="34">
        <f>'Исходные данные'!$J62</f>
        <v>0</v>
      </c>
      <c r="AQ57" s="122">
        <f t="shared" si="61"/>
        <v>0</v>
      </c>
      <c r="AR57" s="122">
        <f t="shared" si="62"/>
        <v>0</v>
      </c>
      <c r="AS57" s="129">
        <f t="shared" si="63"/>
        <v>0</v>
      </c>
      <c r="AT57" s="35"/>
    </row>
    <row r="58" spans="1:46" s="67" customFormat="1" ht="11.25" x14ac:dyDescent="0.2">
      <c r="A58" s="150" t="s">
        <v>10</v>
      </c>
      <c r="B58" s="151" t="str">
        <f>CHOOSE('Исходные данные'!$R$2,'Исходные данные'!$S$2,'Исходные данные'!$S$3,'Исходные данные'!$S$4,'Исходные данные'!$S$5)</f>
        <v>RUB</v>
      </c>
      <c r="C58" s="152">
        <f t="shared" ref="C58:AS58" si="95">SUM(C43:C57)</f>
        <v>48296.969696969696</v>
      </c>
      <c r="D58" s="152">
        <f t="shared" si="95"/>
        <v>54998.939393939392</v>
      </c>
      <c r="E58" s="152">
        <f t="shared" si="95"/>
        <v>85076.666980783455</v>
      </c>
      <c r="F58" s="152">
        <f t="shared" si="95"/>
        <v>69270.000188470061</v>
      </c>
      <c r="G58" s="152">
        <f t="shared" si="95"/>
        <v>61262.394190687359</v>
      </c>
      <c r="H58" s="152">
        <f t="shared" si="95"/>
        <v>50782.807095343684</v>
      </c>
      <c r="I58" s="152">
        <f t="shared" si="95"/>
        <v>50299.38839615669</v>
      </c>
      <c r="J58" s="152">
        <f t="shared" si="95"/>
        <v>66735.16518847007</v>
      </c>
      <c r="K58" s="152">
        <f t="shared" si="95"/>
        <v>56268.939393939392</v>
      </c>
      <c r="L58" s="152">
        <f t="shared" si="95"/>
        <v>48451.969696969696</v>
      </c>
      <c r="M58" s="152">
        <f t="shared" si="95"/>
        <v>45678.181818181816</v>
      </c>
      <c r="N58" s="152">
        <f t="shared" si="95"/>
        <v>45678.181818181816</v>
      </c>
      <c r="O58" s="152">
        <f t="shared" si="95"/>
        <v>682799.60385809303</v>
      </c>
      <c r="P58" s="152">
        <f t="shared" si="95"/>
        <v>56899.966988174427</v>
      </c>
      <c r="Q58" s="152">
        <f t="shared" si="95"/>
        <v>48296.969696969696</v>
      </c>
      <c r="R58" s="152">
        <f t="shared" si="95"/>
        <v>54998.939393939392</v>
      </c>
      <c r="S58" s="152">
        <f t="shared" si="95"/>
        <v>85076.666980783455</v>
      </c>
      <c r="T58" s="152">
        <f t="shared" si="95"/>
        <v>69270.000188470061</v>
      </c>
      <c r="U58" s="152">
        <f t="shared" si="95"/>
        <v>61262.394190687359</v>
      </c>
      <c r="V58" s="152">
        <f t="shared" si="95"/>
        <v>50782.807095343684</v>
      </c>
      <c r="W58" s="152">
        <f t="shared" si="95"/>
        <v>50299.38839615669</v>
      </c>
      <c r="X58" s="152">
        <f t="shared" si="95"/>
        <v>66735.16518847007</v>
      </c>
      <c r="Y58" s="152">
        <f t="shared" si="95"/>
        <v>56268.939393939392</v>
      </c>
      <c r="Z58" s="152">
        <f t="shared" si="95"/>
        <v>48451.969696969696</v>
      </c>
      <c r="AA58" s="152">
        <f t="shared" si="95"/>
        <v>45678.181818181816</v>
      </c>
      <c r="AB58" s="152">
        <f t="shared" si="95"/>
        <v>45678.181818181816</v>
      </c>
      <c r="AC58" s="152">
        <f t="shared" si="95"/>
        <v>682799.60385809303</v>
      </c>
      <c r="AD58" s="152">
        <f t="shared" si="95"/>
        <v>56899.966988174427</v>
      </c>
      <c r="AE58" s="152">
        <f t="shared" si="95"/>
        <v>48296.969696969696</v>
      </c>
      <c r="AF58" s="152">
        <f t="shared" si="95"/>
        <v>54998.939393939392</v>
      </c>
      <c r="AG58" s="152">
        <f t="shared" si="95"/>
        <v>85076.666980783455</v>
      </c>
      <c r="AH58" s="152">
        <f t="shared" si="95"/>
        <v>69270.000188470061</v>
      </c>
      <c r="AI58" s="152">
        <f t="shared" si="95"/>
        <v>61262.394190687359</v>
      </c>
      <c r="AJ58" s="152">
        <f t="shared" si="95"/>
        <v>50782.807095343684</v>
      </c>
      <c r="AK58" s="152">
        <f t="shared" si="95"/>
        <v>50299.38839615669</v>
      </c>
      <c r="AL58" s="152">
        <f t="shared" si="95"/>
        <v>66735.16518847007</v>
      </c>
      <c r="AM58" s="152">
        <f t="shared" si="95"/>
        <v>56268.939393939392</v>
      </c>
      <c r="AN58" s="152">
        <f t="shared" si="95"/>
        <v>48451.969696969696</v>
      </c>
      <c r="AO58" s="152">
        <f t="shared" si="95"/>
        <v>45678.181818181816</v>
      </c>
      <c r="AP58" s="152">
        <f t="shared" si="95"/>
        <v>45678.181818181816</v>
      </c>
      <c r="AQ58" s="152">
        <f t="shared" si="95"/>
        <v>682799.60385809303</v>
      </c>
      <c r="AR58" s="152">
        <f t="shared" si="95"/>
        <v>56899.966988174427</v>
      </c>
      <c r="AS58" s="152">
        <f t="shared" si="95"/>
        <v>2048398.8115742793</v>
      </c>
    </row>
    <row r="59" spans="1:46" s="13" customFormat="1" ht="12" thickBot="1" x14ac:dyDescent="0.25">
      <c r="A59" s="42"/>
      <c r="B59" s="41"/>
      <c r="C59" s="44"/>
      <c r="D59" s="44"/>
      <c r="E59" s="44"/>
      <c r="F59" s="44"/>
      <c r="G59" s="44"/>
      <c r="H59" s="44"/>
      <c r="I59" s="42"/>
      <c r="J59" s="42"/>
      <c r="K59" s="42"/>
      <c r="L59" s="42"/>
      <c r="M59" s="42"/>
      <c r="N59" s="42"/>
      <c r="O59" s="125"/>
      <c r="P59" s="125"/>
      <c r="Q59" s="44"/>
      <c r="R59" s="44"/>
      <c r="S59" s="44"/>
      <c r="T59" s="44"/>
      <c r="U59" s="44"/>
      <c r="V59" s="44"/>
      <c r="W59" s="42"/>
      <c r="X59" s="42"/>
      <c r="Y59" s="42"/>
      <c r="Z59" s="42"/>
      <c r="AA59" s="42"/>
      <c r="AB59" s="42"/>
      <c r="AC59" s="125"/>
      <c r="AD59" s="125"/>
      <c r="AE59" s="44"/>
      <c r="AF59" s="44"/>
      <c r="AG59" s="44"/>
      <c r="AH59" s="44"/>
      <c r="AI59" s="44"/>
      <c r="AJ59" s="44"/>
      <c r="AK59" s="42"/>
      <c r="AL59" s="42"/>
      <c r="AM59" s="42"/>
      <c r="AN59" s="42"/>
      <c r="AO59" s="42"/>
      <c r="AP59" s="42"/>
      <c r="AQ59" s="125"/>
      <c r="AR59" s="125"/>
      <c r="AS59" s="42"/>
    </row>
    <row r="60" spans="1:46" s="20" customFormat="1" ht="24" thickTop="1" thickBot="1" x14ac:dyDescent="0.25">
      <c r="A60" s="18" t="s">
        <v>11</v>
      </c>
      <c r="B60" s="19"/>
      <c r="C60" s="19" t="str">
        <f t="shared" ref="C60:N60" si="96">C$6</f>
        <v>февраль</v>
      </c>
      <c r="D60" s="19" t="str">
        <f t="shared" si="96"/>
        <v>март</v>
      </c>
      <c r="E60" s="19" t="str">
        <f t="shared" si="96"/>
        <v>апрель</v>
      </c>
      <c r="F60" s="19" t="str">
        <f t="shared" si="96"/>
        <v>май</v>
      </c>
      <c r="G60" s="19" t="str">
        <f t="shared" si="96"/>
        <v>июнь</v>
      </c>
      <c r="H60" s="19" t="str">
        <f t="shared" si="96"/>
        <v>июль</v>
      </c>
      <c r="I60" s="19" t="str">
        <f t="shared" si="96"/>
        <v>август</v>
      </c>
      <c r="J60" s="19" t="str">
        <f t="shared" si="96"/>
        <v>сентябрь</v>
      </c>
      <c r="K60" s="19" t="str">
        <f t="shared" si="96"/>
        <v>октябрь</v>
      </c>
      <c r="L60" s="19" t="str">
        <f t="shared" si="96"/>
        <v>ноябрь</v>
      </c>
      <c r="M60" s="19" t="str">
        <f t="shared" si="96"/>
        <v>декабрь</v>
      </c>
      <c r="N60" s="19" t="str">
        <f t="shared" si="96"/>
        <v>январь</v>
      </c>
      <c r="O60" s="123" t="str">
        <f>O42</f>
        <v>Итого за 1-й год</v>
      </c>
      <c r="P60" s="123" t="str">
        <f>P42</f>
        <v>Среднемесячно за 1-й год</v>
      </c>
      <c r="Q60" s="19" t="str">
        <f t="shared" ref="Q60:AB60" si="97">Q$6</f>
        <v>февраль</v>
      </c>
      <c r="R60" s="19" t="str">
        <f t="shared" si="97"/>
        <v>март</v>
      </c>
      <c r="S60" s="19" t="str">
        <f t="shared" si="97"/>
        <v>апрель</v>
      </c>
      <c r="T60" s="19" t="str">
        <f t="shared" si="97"/>
        <v>май</v>
      </c>
      <c r="U60" s="19" t="str">
        <f t="shared" si="97"/>
        <v>июнь</v>
      </c>
      <c r="V60" s="19" t="str">
        <f t="shared" si="97"/>
        <v>июль</v>
      </c>
      <c r="W60" s="19" t="str">
        <f t="shared" si="97"/>
        <v>август</v>
      </c>
      <c r="X60" s="19" t="str">
        <f t="shared" si="97"/>
        <v>сентябрь</v>
      </c>
      <c r="Y60" s="19" t="str">
        <f t="shared" si="97"/>
        <v>октябрь</v>
      </c>
      <c r="Z60" s="19" t="str">
        <f t="shared" si="97"/>
        <v>ноябрь</v>
      </c>
      <c r="AA60" s="19" t="str">
        <f t="shared" si="97"/>
        <v>декабрь</v>
      </c>
      <c r="AB60" s="19" t="str">
        <f t="shared" si="97"/>
        <v>январь</v>
      </c>
      <c r="AC60" s="123" t="str">
        <f>AC42</f>
        <v>Итого за 2-й год</v>
      </c>
      <c r="AD60" s="123" t="str">
        <f>AD42</f>
        <v>Среднемесячно за 2-й год</v>
      </c>
      <c r="AE60" s="19" t="str">
        <f t="shared" ref="AE60:AP60" si="98">AE$6</f>
        <v>февраль</v>
      </c>
      <c r="AF60" s="19" t="str">
        <f t="shared" si="98"/>
        <v>март</v>
      </c>
      <c r="AG60" s="19" t="str">
        <f t="shared" si="98"/>
        <v>апрель</v>
      </c>
      <c r="AH60" s="19" t="str">
        <f t="shared" si="98"/>
        <v>май</v>
      </c>
      <c r="AI60" s="19" t="str">
        <f t="shared" si="98"/>
        <v>июнь</v>
      </c>
      <c r="AJ60" s="19" t="str">
        <f t="shared" si="98"/>
        <v>июль</v>
      </c>
      <c r="AK60" s="19" t="str">
        <f t="shared" si="98"/>
        <v>август</v>
      </c>
      <c r="AL60" s="19" t="str">
        <f t="shared" si="98"/>
        <v>сентябрь</v>
      </c>
      <c r="AM60" s="19" t="str">
        <f t="shared" si="98"/>
        <v>октябрь</v>
      </c>
      <c r="AN60" s="19" t="str">
        <f t="shared" si="98"/>
        <v>ноябрь</v>
      </c>
      <c r="AO60" s="19" t="str">
        <f t="shared" si="98"/>
        <v>декабрь</v>
      </c>
      <c r="AP60" s="19" t="str">
        <f t="shared" si="98"/>
        <v>январь</v>
      </c>
      <c r="AQ60" s="123" t="str">
        <f>AQ42</f>
        <v>Итого за 3-й год</v>
      </c>
      <c r="AR60" s="123" t="str">
        <f>AR42</f>
        <v>Среднемесячно за 3-й год</v>
      </c>
      <c r="AS60" s="133" t="str">
        <f>AS42</f>
        <v>Итого за три года</v>
      </c>
    </row>
    <row r="61" spans="1:46" s="20" customFormat="1" ht="12" thickTop="1" x14ac:dyDescent="0.2">
      <c r="A61" s="45" t="s">
        <v>12</v>
      </c>
      <c r="B61" s="25" t="str">
        <f>CHOOSE('Исходные данные'!$R$2,'Исходные данные'!$S$2,'Исходные данные'!$S$3,'Исходные данные'!$S$4,'Исходные данные'!$S$5)</f>
        <v>RUB</v>
      </c>
      <c r="C61" s="145">
        <f t="shared" ref="C61:N61" si="99">C20</f>
        <v>145000</v>
      </c>
      <c r="D61" s="145">
        <f t="shared" si="99"/>
        <v>293500</v>
      </c>
      <c r="E61" s="145">
        <f t="shared" si="99"/>
        <v>1001407.5</v>
      </c>
      <c r="F61" s="145">
        <f t="shared" si="99"/>
        <v>635644.5</v>
      </c>
      <c r="G61" s="145">
        <f t="shared" si="99"/>
        <v>449626</v>
      </c>
      <c r="H61" s="145">
        <f t="shared" si="99"/>
        <v>204200</v>
      </c>
      <c r="I61" s="145">
        <f t="shared" si="99"/>
        <v>193750</v>
      </c>
      <c r="J61" s="145">
        <f t="shared" si="99"/>
        <v>566150</v>
      </c>
      <c r="K61" s="145">
        <f t="shared" si="99"/>
        <v>322500</v>
      </c>
      <c r="L61" s="145">
        <f t="shared" si="99"/>
        <v>148500</v>
      </c>
      <c r="M61" s="145">
        <f t="shared" si="99"/>
        <v>87000</v>
      </c>
      <c r="N61" s="145">
        <f t="shared" si="99"/>
        <v>87000</v>
      </c>
      <c r="O61" s="146">
        <f t="shared" ref="O61:O67" si="100">SUM(C61:N61)</f>
        <v>4134278</v>
      </c>
      <c r="P61" s="146">
        <f t="shared" ref="P61:P67" si="101">O61/12</f>
        <v>344523.16666666669</v>
      </c>
      <c r="Q61" s="145">
        <f t="shared" ref="Q61:AB61" si="102">Q20</f>
        <v>145000</v>
      </c>
      <c r="R61" s="145">
        <f t="shared" si="102"/>
        <v>293500</v>
      </c>
      <c r="S61" s="145">
        <f t="shared" si="102"/>
        <v>1001407.5</v>
      </c>
      <c r="T61" s="145">
        <f t="shared" si="102"/>
        <v>635644.5</v>
      </c>
      <c r="U61" s="145">
        <f t="shared" si="102"/>
        <v>449626</v>
      </c>
      <c r="V61" s="145">
        <f t="shared" si="102"/>
        <v>204200</v>
      </c>
      <c r="W61" s="145">
        <f t="shared" si="102"/>
        <v>193750</v>
      </c>
      <c r="X61" s="145">
        <f t="shared" si="102"/>
        <v>566150</v>
      </c>
      <c r="Y61" s="145">
        <f t="shared" si="102"/>
        <v>322500</v>
      </c>
      <c r="Z61" s="145">
        <f t="shared" si="102"/>
        <v>148500</v>
      </c>
      <c r="AA61" s="145">
        <f t="shared" si="102"/>
        <v>87000</v>
      </c>
      <c r="AB61" s="145">
        <f t="shared" si="102"/>
        <v>87000</v>
      </c>
      <c r="AC61" s="146">
        <f t="shared" ref="AC61:AC67" si="103">SUM(Q61:AB61)</f>
        <v>4134278</v>
      </c>
      <c r="AD61" s="146">
        <f t="shared" ref="AD61:AD67" si="104">AC61/12</f>
        <v>344523.16666666669</v>
      </c>
      <c r="AE61" s="145">
        <f t="shared" ref="AE61:AP61" si="105">AE20</f>
        <v>145000</v>
      </c>
      <c r="AF61" s="145">
        <f t="shared" si="105"/>
        <v>293500</v>
      </c>
      <c r="AG61" s="145">
        <f t="shared" si="105"/>
        <v>1001407.5</v>
      </c>
      <c r="AH61" s="145">
        <f t="shared" si="105"/>
        <v>635644.5</v>
      </c>
      <c r="AI61" s="145">
        <f t="shared" si="105"/>
        <v>449626</v>
      </c>
      <c r="AJ61" s="145">
        <f t="shared" si="105"/>
        <v>204200</v>
      </c>
      <c r="AK61" s="145">
        <f t="shared" si="105"/>
        <v>193750</v>
      </c>
      <c r="AL61" s="145">
        <f t="shared" si="105"/>
        <v>566150</v>
      </c>
      <c r="AM61" s="145">
        <f t="shared" si="105"/>
        <v>322500</v>
      </c>
      <c r="AN61" s="145">
        <f t="shared" si="105"/>
        <v>148500</v>
      </c>
      <c r="AO61" s="145">
        <f t="shared" si="105"/>
        <v>87000</v>
      </c>
      <c r="AP61" s="145">
        <f t="shared" si="105"/>
        <v>87000</v>
      </c>
      <c r="AQ61" s="146">
        <f t="shared" ref="AQ61:AQ67" si="106">SUM(AE61:AP61)</f>
        <v>4134278</v>
      </c>
      <c r="AR61" s="146">
        <f t="shared" ref="AR61:AR67" si="107">AQ61/12</f>
        <v>344523.16666666669</v>
      </c>
      <c r="AS61" s="147">
        <f t="shared" ref="AS61:AS66" si="108">O61+AC61+AQ61</f>
        <v>12402834</v>
      </c>
    </row>
    <row r="62" spans="1:46" s="20" customFormat="1" ht="11.25" x14ac:dyDescent="0.2">
      <c r="A62" s="24" t="str">
        <f>"- Себестоимость"</f>
        <v>- Себестоимость</v>
      </c>
      <c r="B62" s="25" t="str">
        <f>CHOOSE('Исходные данные'!$R$2,'Исходные данные'!$S$2,'Исходные данные'!$S$3,'Исходные данные'!$S$4,'Исходные данные'!$S$5)</f>
        <v>RUB</v>
      </c>
      <c r="C62" s="145">
        <f t="shared" ref="C62:N62" si="109">C29</f>
        <v>109848.48484848485</v>
      </c>
      <c r="D62" s="145">
        <f t="shared" si="109"/>
        <v>222196.9696969697</v>
      </c>
      <c r="E62" s="145">
        <f t="shared" si="109"/>
        <v>664222.09903917217</v>
      </c>
      <c r="F62" s="145">
        <f t="shared" si="109"/>
        <v>422533.2594235033</v>
      </c>
      <c r="G62" s="145">
        <f t="shared" si="109"/>
        <v>301180.70953436807</v>
      </c>
      <c r="H62" s="145">
        <f t="shared" si="109"/>
        <v>145340.35476718404</v>
      </c>
      <c r="I62" s="145">
        <f t="shared" si="109"/>
        <v>136844.41980783443</v>
      </c>
      <c r="J62" s="145">
        <f t="shared" si="109"/>
        <v>400033.2594235033</v>
      </c>
      <c r="K62" s="145">
        <f t="shared" si="109"/>
        <v>242196.9696969697</v>
      </c>
      <c r="L62" s="145">
        <f t="shared" si="109"/>
        <v>112348.48484848485</v>
      </c>
      <c r="M62" s="145">
        <f t="shared" si="109"/>
        <v>65909.090909090912</v>
      </c>
      <c r="N62" s="145">
        <f t="shared" si="109"/>
        <v>65909.090909090912</v>
      </c>
      <c r="O62" s="146">
        <f t="shared" si="100"/>
        <v>2888563.1929046558</v>
      </c>
      <c r="P62" s="146">
        <f t="shared" si="101"/>
        <v>240713.59940872132</v>
      </c>
      <c r="Q62" s="145">
        <f t="shared" ref="Q62:AB62" si="110">Q29</f>
        <v>109848.48484848485</v>
      </c>
      <c r="R62" s="145">
        <f t="shared" si="110"/>
        <v>222196.9696969697</v>
      </c>
      <c r="S62" s="145">
        <f t="shared" si="110"/>
        <v>664222.09903917217</v>
      </c>
      <c r="T62" s="145">
        <f t="shared" si="110"/>
        <v>422533.2594235033</v>
      </c>
      <c r="U62" s="145">
        <f t="shared" si="110"/>
        <v>301180.70953436807</v>
      </c>
      <c r="V62" s="145">
        <f t="shared" si="110"/>
        <v>145340.35476718404</v>
      </c>
      <c r="W62" s="145">
        <f t="shared" si="110"/>
        <v>136844.41980783443</v>
      </c>
      <c r="X62" s="145">
        <f t="shared" si="110"/>
        <v>400033.2594235033</v>
      </c>
      <c r="Y62" s="145">
        <f t="shared" si="110"/>
        <v>242196.9696969697</v>
      </c>
      <c r="Z62" s="145">
        <f t="shared" si="110"/>
        <v>112348.48484848485</v>
      </c>
      <c r="AA62" s="145">
        <f t="shared" si="110"/>
        <v>65909.090909090912</v>
      </c>
      <c r="AB62" s="145">
        <f t="shared" si="110"/>
        <v>65909.090909090912</v>
      </c>
      <c r="AC62" s="146">
        <f t="shared" si="103"/>
        <v>2888563.1929046558</v>
      </c>
      <c r="AD62" s="146">
        <f t="shared" si="104"/>
        <v>240713.59940872132</v>
      </c>
      <c r="AE62" s="145">
        <f t="shared" ref="AE62:AP62" si="111">AE29</f>
        <v>109848.48484848485</v>
      </c>
      <c r="AF62" s="145">
        <f t="shared" si="111"/>
        <v>222196.9696969697</v>
      </c>
      <c r="AG62" s="145">
        <f t="shared" si="111"/>
        <v>664222.09903917217</v>
      </c>
      <c r="AH62" s="145">
        <f t="shared" si="111"/>
        <v>422533.2594235033</v>
      </c>
      <c r="AI62" s="145">
        <f t="shared" si="111"/>
        <v>301180.70953436807</v>
      </c>
      <c r="AJ62" s="145">
        <f t="shared" si="111"/>
        <v>145340.35476718404</v>
      </c>
      <c r="AK62" s="145">
        <f t="shared" si="111"/>
        <v>136844.41980783443</v>
      </c>
      <c r="AL62" s="145">
        <f t="shared" si="111"/>
        <v>400033.2594235033</v>
      </c>
      <c r="AM62" s="145">
        <f t="shared" si="111"/>
        <v>242196.9696969697</v>
      </c>
      <c r="AN62" s="145">
        <f t="shared" si="111"/>
        <v>112348.48484848485</v>
      </c>
      <c r="AO62" s="145">
        <f t="shared" si="111"/>
        <v>65909.090909090912</v>
      </c>
      <c r="AP62" s="145">
        <f t="shared" si="111"/>
        <v>65909.090909090912</v>
      </c>
      <c r="AQ62" s="146">
        <f t="shared" si="106"/>
        <v>2888563.1929046558</v>
      </c>
      <c r="AR62" s="146">
        <f t="shared" si="107"/>
        <v>240713.59940872132</v>
      </c>
      <c r="AS62" s="147">
        <f t="shared" si="108"/>
        <v>8665689.5787139684</v>
      </c>
    </row>
    <row r="63" spans="1:46" s="20" customFormat="1" ht="11.25" x14ac:dyDescent="0.2">
      <c r="A63" s="45" t="s">
        <v>13</v>
      </c>
      <c r="B63" s="25" t="str">
        <f>CHOOSE('Исходные данные'!$R$2,'Исходные данные'!$S$2,'Исходные данные'!$S$3,'Исходные данные'!$S$4,'Исходные данные'!$S$5)</f>
        <v>RUB</v>
      </c>
      <c r="C63" s="145">
        <f>C61-C62</f>
        <v>35151.515151515152</v>
      </c>
      <c r="D63" s="145">
        <f t="shared" ref="D63:N63" si="112">D61-D62</f>
        <v>71303.030303030304</v>
      </c>
      <c r="E63" s="145">
        <f t="shared" si="112"/>
        <v>337185.40096082783</v>
      </c>
      <c r="F63" s="145">
        <f t="shared" si="112"/>
        <v>213111.2405764967</v>
      </c>
      <c r="G63" s="145">
        <f t="shared" si="112"/>
        <v>148445.29046563193</v>
      </c>
      <c r="H63" s="145">
        <f t="shared" si="112"/>
        <v>58859.645232815965</v>
      </c>
      <c r="I63" s="145">
        <f t="shared" si="112"/>
        <v>56905.580192165566</v>
      </c>
      <c r="J63" s="145">
        <f t="shared" si="112"/>
        <v>166116.7405764967</v>
      </c>
      <c r="K63" s="145">
        <f t="shared" si="112"/>
        <v>80303.030303030304</v>
      </c>
      <c r="L63" s="145">
        <f t="shared" si="112"/>
        <v>36151.515151515152</v>
      </c>
      <c r="M63" s="145">
        <f t="shared" si="112"/>
        <v>21090.909090909088</v>
      </c>
      <c r="N63" s="145">
        <f t="shared" si="112"/>
        <v>21090.909090909088</v>
      </c>
      <c r="O63" s="146">
        <f t="shared" si="100"/>
        <v>1245714.8070953439</v>
      </c>
      <c r="P63" s="146">
        <f t="shared" si="101"/>
        <v>103809.56725794532</v>
      </c>
      <c r="Q63" s="145">
        <f>Q61-Q62</f>
        <v>35151.515151515152</v>
      </c>
      <c r="R63" s="145">
        <f t="shared" ref="R63:AB63" si="113">R61-R62</f>
        <v>71303.030303030304</v>
      </c>
      <c r="S63" s="145">
        <f t="shared" si="113"/>
        <v>337185.40096082783</v>
      </c>
      <c r="T63" s="145">
        <f t="shared" si="113"/>
        <v>213111.2405764967</v>
      </c>
      <c r="U63" s="145">
        <f t="shared" si="113"/>
        <v>148445.29046563193</v>
      </c>
      <c r="V63" s="145">
        <f t="shared" si="113"/>
        <v>58859.645232815965</v>
      </c>
      <c r="W63" s="145">
        <f t="shared" si="113"/>
        <v>56905.580192165566</v>
      </c>
      <c r="X63" s="145">
        <f t="shared" si="113"/>
        <v>166116.7405764967</v>
      </c>
      <c r="Y63" s="145">
        <f t="shared" si="113"/>
        <v>80303.030303030304</v>
      </c>
      <c r="Z63" s="145">
        <f t="shared" si="113"/>
        <v>36151.515151515152</v>
      </c>
      <c r="AA63" s="145">
        <f t="shared" si="113"/>
        <v>21090.909090909088</v>
      </c>
      <c r="AB63" s="145">
        <f t="shared" si="113"/>
        <v>21090.909090909088</v>
      </c>
      <c r="AC63" s="146">
        <f t="shared" si="103"/>
        <v>1245714.8070953439</v>
      </c>
      <c r="AD63" s="146">
        <f t="shared" si="104"/>
        <v>103809.56725794532</v>
      </c>
      <c r="AE63" s="145">
        <f>AE61-AE62</f>
        <v>35151.515151515152</v>
      </c>
      <c r="AF63" s="145">
        <f t="shared" ref="AF63:AP63" si="114">AF61-AF62</f>
        <v>71303.030303030304</v>
      </c>
      <c r="AG63" s="145">
        <f t="shared" si="114"/>
        <v>337185.40096082783</v>
      </c>
      <c r="AH63" s="145">
        <f t="shared" si="114"/>
        <v>213111.2405764967</v>
      </c>
      <c r="AI63" s="145">
        <f t="shared" si="114"/>
        <v>148445.29046563193</v>
      </c>
      <c r="AJ63" s="145">
        <f t="shared" si="114"/>
        <v>58859.645232815965</v>
      </c>
      <c r="AK63" s="145">
        <f t="shared" si="114"/>
        <v>56905.580192165566</v>
      </c>
      <c r="AL63" s="145">
        <f t="shared" si="114"/>
        <v>166116.7405764967</v>
      </c>
      <c r="AM63" s="145">
        <f t="shared" si="114"/>
        <v>80303.030303030304</v>
      </c>
      <c r="AN63" s="145">
        <f t="shared" si="114"/>
        <v>36151.515151515152</v>
      </c>
      <c r="AO63" s="145">
        <f t="shared" si="114"/>
        <v>21090.909090909088</v>
      </c>
      <c r="AP63" s="145">
        <f t="shared" si="114"/>
        <v>21090.909090909088</v>
      </c>
      <c r="AQ63" s="146">
        <f t="shared" si="106"/>
        <v>1245714.8070953439</v>
      </c>
      <c r="AR63" s="146">
        <f t="shared" si="107"/>
        <v>103809.56725794532</v>
      </c>
      <c r="AS63" s="147">
        <f t="shared" si="108"/>
        <v>3737144.4212860316</v>
      </c>
    </row>
    <row r="64" spans="1:46" s="71" customFormat="1" ht="11.25" x14ac:dyDescent="0.2">
      <c r="A64" s="69" t="str">
        <f>"- Инвестиции"</f>
        <v>- Инвестиции</v>
      </c>
      <c r="B64" s="70" t="str">
        <f>CHOOSE('Исходные данные'!$R$2,'Исходные данные'!$S$2,'Исходные данные'!$S$3,'Исходные данные'!$S$4,'Исходные данные'!$S$5)</f>
        <v>RUB</v>
      </c>
      <c r="C64" s="148">
        <f t="shared" ref="C64:N64" si="115">C40</f>
        <v>121000</v>
      </c>
      <c r="D64" s="148">
        <f t="shared" si="115"/>
        <v>0</v>
      </c>
      <c r="E64" s="148">
        <f t="shared" si="115"/>
        <v>0</v>
      </c>
      <c r="F64" s="148">
        <f t="shared" si="115"/>
        <v>0</v>
      </c>
      <c r="G64" s="148">
        <f t="shared" si="115"/>
        <v>0</v>
      </c>
      <c r="H64" s="148">
        <f t="shared" si="115"/>
        <v>0</v>
      </c>
      <c r="I64" s="148">
        <f t="shared" si="115"/>
        <v>0</v>
      </c>
      <c r="J64" s="148">
        <f t="shared" si="115"/>
        <v>0</v>
      </c>
      <c r="K64" s="148">
        <f t="shared" si="115"/>
        <v>0</v>
      </c>
      <c r="L64" s="148">
        <f t="shared" si="115"/>
        <v>0</v>
      </c>
      <c r="M64" s="148">
        <f t="shared" si="115"/>
        <v>0</v>
      </c>
      <c r="N64" s="148">
        <f t="shared" si="115"/>
        <v>0</v>
      </c>
      <c r="O64" s="146">
        <f t="shared" si="100"/>
        <v>121000</v>
      </c>
      <c r="P64" s="146"/>
      <c r="Q64" s="148">
        <f t="shared" ref="Q64:AB64" si="116">Q40</f>
        <v>0</v>
      </c>
      <c r="R64" s="148">
        <f t="shared" si="116"/>
        <v>0</v>
      </c>
      <c r="S64" s="148">
        <f t="shared" si="116"/>
        <v>0</v>
      </c>
      <c r="T64" s="148">
        <f t="shared" si="116"/>
        <v>0</v>
      </c>
      <c r="U64" s="148">
        <f t="shared" si="116"/>
        <v>0</v>
      </c>
      <c r="V64" s="148">
        <f t="shared" si="116"/>
        <v>0</v>
      </c>
      <c r="W64" s="148">
        <f t="shared" si="116"/>
        <v>0</v>
      </c>
      <c r="X64" s="148">
        <f t="shared" si="116"/>
        <v>0</v>
      </c>
      <c r="Y64" s="148">
        <f t="shared" si="116"/>
        <v>0</v>
      </c>
      <c r="Z64" s="148">
        <f t="shared" si="116"/>
        <v>0</v>
      </c>
      <c r="AA64" s="148">
        <f t="shared" si="116"/>
        <v>0</v>
      </c>
      <c r="AB64" s="148">
        <f t="shared" si="116"/>
        <v>0</v>
      </c>
      <c r="AC64" s="146">
        <f t="shared" si="103"/>
        <v>0</v>
      </c>
      <c r="AD64" s="146"/>
      <c r="AE64" s="148">
        <f t="shared" ref="AE64:AP64" si="117">AE40</f>
        <v>0</v>
      </c>
      <c r="AF64" s="148">
        <f t="shared" si="117"/>
        <v>0</v>
      </c>
      <c r="AG64" s="148">
        <f t="shared" si="117"/>
        <v>0</v>
      </c>
      <c r="AH64" s="148">
        <f t="shared" si="117"/>
        <v>0</v>
      </c>
      <c r="AI64" s="148">
        <f t="shared" si="117"/>
        <v>0</v>
      </c>
      <c r="AJ64" s="148">
        <f t="shared" si="117"/>
        <v>0</v>
      </c>
      <c r="AK64" s="148">
        <f t="shared" si="117"/>
        <v>0</v>
      </c>
      <c r="AL64" s="148">
        <f t="shared" si="117"/>
        <v>0</v>
      </c>
      <c r="AM64" s="148">
        <f t="shared" si="117"/>
        <v>0</v>
      </c>
      <c r="AN64" s="148">
        <f t="shared" si="117"/>
        <v>0</v>
      </c>
      <c r="AO64" s="148">
        <f t="shared" si="117"/>
        <v>0</v>
      </c>
      <c r="AP64" s="148">
        <f t="shared" si="117"/>
        <v>0</v>
      </c>
      <c r="AQ64" s="146">
        <f t="shared" si="106"/>
        <v>0</v>
      </c>
      <c r="AR64" s="146"/>
      <c r="AS64" s="147">
        <f t="shared" si="108"/>
        <v>121000</v>
      </c>
    </row>
    <row r="65" spans="1:45" s="20" customFormat="1" ht="11.25" x14ac:dyDescent="0.2">
      <c r="A65" s="24" t="str">
        <f>"- Текущие затраты"</f>
        <v>- Текущие затраты</v>
      </c>
      <c r="B65" s="25" t="str">
        <f>CHOOSE('Исходные данные'!$R$2,'Исходные данные'!$S$2,'Исходные данные'!$S$3,'Исходные данные'!$S$4,'Исходные данные'!$S$5)</f>
        <v>RUB</v>
      </c>
      <c r="C65" s="145">
        <f t="shared" ref="C65:N65" si="118">C58</f>
        <v>48296.969696969696</v>
      </c>
      <c r="D65" s="145">
        <f t="shared" si="118"/>
        <v>54998.939393939392</v>
      </c>
      <c r="E65" s="145">
        <f t="shared" si="118"/>
        <v>85076.666980783455</v>
      </c>
      <c r="F65" s="145">
        <f t="shared" si="118"/>
        <v>69270.000188470061</v>
      </c>
      <c r="G65" s="145">
        <f t="shared" si="118"/>
        <v>61262.394190687359</v>
      </c>
      <c r="H65" s="145">
        <f t="shared" si="118"/>
        <v>50782.807095343684</v>
      </c>
      <c r="I65" s="145">
        <f t="shared" si="118"/>
        <v>50299.38839615669</v>
      </c>
      <c r="J65" s="145">
        <f t="shared" si="118"/>
        <v>66735.16518847007</v>
      </c>
      <c r="K65" s="145">
        <f t="shared" si="118"/>
        <v>56268.939393939392</v>
      </c>
      <c r="L65" s="145">
        <f t="shared" si="118"/>
        <v>48451.969696969696</v>
      </c>
      <c r="M65" s="145">
        <f t="shared" si="118"/>
        <v>45678.181818181816</v>
      </c>
      <c r="N65" s="145">
        <f t="shared" si="118"/>
        <v>45678.181818181816</v>
      </c>
      <c r="O65" s="146">
        <f t="shared" si="100"/>
        <v>682799.60385809303</v>
      </c>
      <c r="P65" s="146">
        <f t="shared" si="101"/>
        <v>56899.966988174419</v>
      </c>
      <c r="Q65" s="145">
        <f t="shared" ref="Q65:AB65" si="119">Q58</f>
        <v>48296.969696969696</v>
      </c>
      <c r="R65" s="145">
        <f t="shared" si="119"/>
        <v>54998.939393939392</v>
      </c>
      <c r="S65" s="145">
        <f t="shared" si="119"/>
        <v>85076.666980783455</v>
      </c>
      <c r="T65" s="145">
        <f t="shared" si="119"/>
        <v>69270.000188470061</v>
      </c>
      <c r="U65" s="145">
        <f t="shared" si="119"/>
        <v>61262.394190687359</v>
      </c>
      <c r="V65" s="145">
        <f t="shared" si="119"/>
        <v>50782.807095343684</v>
      </c>
      <c r="W65" s="145">
        <f t="shared" si="119"/>
        <v>50299.38839615669</v>
      </c>
      <c r="X65" s="145">
        <f t="shared" si="119"/>
        <v>66735.16518847007</v>
      </c>
      <c r="Y65" s="145">
        <f t="shared" si="119"/>
        <v>56268.939393939392</v>
      </c>
      <c r="Z65" s="145">
        <f t="shared" si="119"/>
        <v>48451.969696969696</v>
      </c>
      <c r="AA65" s="145">
        <f t="shared" si="119"/>
        <v>45678.181818181816</v>
      </c>
      <c r="AB65" s="145">
        <f t="shared" si="119"/>
        <v>45678.181818181816</v>
      </c>
      <c r="AC65" s="146">
        <f t="shared" si="103"/>
        <v>682799.60385809303</v>
      </c>
      <c r="AD65" s="146">
        <f t="shared" si="104"/>
        <v>56899.966988174419</v>
      </c>
      <c r="AE65" s="145">
        <f t="shared" ref="AE65:AP65" si="120">AE58</f>
        <v>48296.969696969696</v>
      </c>
      <c r="AF65" s="145">
        <f t="shared" si="120"/>
        <v>54998.939393939392</v>
      </c>
      <c r="AG65" s="145">
        <f t="shared" si="120"/>
        <v>85076.666980783455</v>
      </c>
      <c r="AH65" s="145">
        <f t="shared" si="120"/>
        <v>69270.000188470061</v>
      </c>
      <c r="AI65" s="145">
        <f t="shared" si="120"/>
        <v>61262.394190687359</v>
      </c>
      <c r="AJ65" s="145">
        <f t="shared" si="120"/>
        <v>50782.807095343684</v>
      </c>
      <c r="AK65" s="145">
        <f t="shared" si="120"/>
        <v>50299.38839615669</v>
      </c>
      <c r="AL65" s="145">
        <f t="shared" si="120"/>
        <v>66735.16518847007</v>
      </c>
      <c r="AM65" s="145">
        <f t="shared" si="120"/>
        <v>56268.939393939392</v>
      </c>
      <c r="AN65" s="145">
        <f t="shared" si="120"/>
        <v>48451.969696969696</v>
      </c>
      <c r="AO65" s="145">
        <f t="shared" si="120"/>
        <v>45678.181818181816</v>
      </c>
      <c r="AP65" s="145">
        <f t="shared" si="120"/>
        <v>45678.181818181816</v>
      </c>
      <c r="AQ65" s="146">
        <f t="shared" si="106"/>
        <v>682799.60385809303</v>
      </c>
      <c r="AR65" s="146">
        <f t="shared" si="107"/>
        <v>56899.966988174419</v>
      </c>
      <c r="AS65" s="147">
        <f t="shared" si="108"/>
        <v>2048398.8115742791</v>
      </c>
    </row>
    <row r="66" spans="1:45" s="20" customFormat="1" ht="11.25" x14ac:dyDescent="0.2">
      <c r="A66" s="68" t="s">
        <v>35</v>
      </c>
      <c r="B66" s="25" t="str">
        <f>CHOOSE('Исходные данные'!$R$2,'Исходные данные'!$S$2,'Исходные данные'!$S$3,'Исходные данные'!$S$4,'Исходные данные'!$S$5)</f>
        <v>RUB</v>
      </c>
      <c r="C66" s="145">
        <f>C63-C64-C65</f>
        <v>-134145.45454545453</v>
      </c>
      <c r="D66" s="145">
        <f>D63-D64-D65</f>
        <v>16304.090909090912</v>
      </c>
      <c r="E66" s="145">
        <f t="shared" ref="E66:N66" si="121">E63-E64-E65</f>
        <v>252108.73398004437</v>
      </c>
      <c r="F66" s="145">
        <f t="shared" si="121"/>
        <v>143841.24038802664</v>
      </c>
      <c r="G66" s="145">
        <f t="shared" si="121"/>
        <v>87182.896274944564</v>
      </c>
      <c r="H66" s="145">
        <f t="shared" si="121"/>
        <v>8076.8381374722812</v>
      </c>
      <c r="I66" s="145">
        <f t="shared" si="121"/>
        <v>6606.1917960088758</v>
      </c>
      <c r="J66" s="145">
        <f t="shared" si="121"/>
        <v>99381.575388026627</v>
      </c>
      <c r="K66" s="145">
        <f t="shared" si="121"/>
        <v>24034.090909090912</v>
      </c>
      <c r="L66" s="145">
        <f t="shared" si="121"/>
        <v>-12300.454545454544</v>
      </c>
      <c r="M66" s="145">
        <f t="shared" si="121"/>
        <v>-24587.272727272728</v>
      </c>
      <c r="N66" s="145">
        <f t="shared" si="121"/>
        <v>-24587.272727272728</v>
      </c>
      <c r="O66" s="146">
        <f t="shared" si="100"/>
        <v>441915.20323725074</v>
      </c>
      <c r="P66" s="146">
        <f t="shared" si="101"/>
        <v>36826.266936437562</v>
      </c>
      <c r="Q66" s="145">
        <f>Q63-Q64-Q65</f>
        <v>-13145.454545454544</v>
      </c>
      <c r="R66" s="145">
        <f>R63-R64-R65</f>
        <v>16304.090909090912</v>
      </c>
      <c r="S66" s="145">
        <f t="shared" ref="S66:AB66" si="122">S63-S64-S65</f>
        <v>252108.73398004437</v>
      </c>
      <c r="T66" s="145">
        <f t="shared" si="122"/>
        <v>143841.24038802664</v>
      </c>
      <c r="U66" s="145">
        <f t="shared" si="122"/>
        <v>87182.896274944564</v>
      </c>
      <c r="V66" s="145">
        <f t="shared" si="122"/>
        <v>8076.8381374722812</v>
      </c>
      <c r="W66" s="145">
        <f t="shared" si="122"/>
        <v>6606.1917960088758</v>
      </c>
      <c r="X66" s="145">
        <f t="shared" si="122"/>
        <v>99381.575388026627</v>
      </c>
      <c r="Y66" s="145">
        <f t="shared" si="122"/>
        <v>24034.090909090912</v>
      </c>
      <c r="Z66" s="145">
        <f t="shared" si="122"/>
        <v>-12300.454545454544</v>
      </c>
      <c r="AA66" s="145">
        <f t="shared" si="122"/>
        <v>-24587.272727272728</v>
      </c>
      <c r="AB66" s="145">
        <f t="shared" si="122"/>
        <v>-24587.272727272728</v>
      </c>
      <c r="AC66" s="146">
        <f t="shared" si="103"/>
        <v>562915.20323725068</v>
      </c>
      <c r="AD66" s="146">
        <f t="shared" si="104"/>
        <v>46909.60026977089</v>
      </c>
      <c r="AE66" s="145">
        <f>AE63-AE64-AE65</f>
        <v>-13145.454545454544</v>
      </c>
      <c r="AF66" s="145">
        <f>AF63-AF64-AF65</f>
        <v>16304.090909090912</v>
      </c>
      <c r="AG66" s="145">
        <f t="shared" ref="AG66:AP66" si="123">AG63-AG64-AG65</f>
        <v>252108.73398004437</v>
      </c>
      <c r="AH66" s="145">
        <f t="shared" si="123"/>
        <v>143841.24038802664</v>
      </c>
      <c r="AI66" s="145">
        <f t="shared" si="123"/>
        <v>87182.896274944564</v>
      </c>
      <c r="AJ66" s="145">
        <f t="shared" si="123"/>
        <v>8076.8381374722812</v>
      </c>
      <c r="AK66" s="145">
        <f t="shared" si="123"/>
        <v>6606.1917960088758</v>
      </c>
      <c r="AL66" s="145">
        <f t="shared" si="123"/>
        <v>99381.575388026627</v>
      </c>
      <c r="AM66" s="145">
        <f t="shared" si="123"/>
        <v>24034.090909090912</v>
      </c>
      <c r="AN66" s="145">
        <f t="shared" si="123"/>
        <v>-12300.454545454544</v>
      </c>
      <c r="AO66" s="145">
        <f t="shared" si="123"/>
        <v>-24587.272727272728</v>
      </c>
      <c r="AP66" s="145">
        <f t="shared" si="123"/>
        <v>-24587.272727272728</v>
      </c>
      <c r="AQ66" s="146">
        <f t="shared" si="106"/>
        <v>562915.20323725068</v>
      </c>
      <c r="AR66" s="146">
        <f t="shared" si="107"/>
        <v>46909.60026977089</v>
      </c>
      <c r="AS66" s="147">
        <f t="shared" si="108"/>
        <v>1567745.609711752</v>
      </c>
    </row>
    <row r="67" spans="1:45" s="20" customFormat="1" ht="11.25" x14ac:dyDescent="0.2">
      <c r="A67" s="68" t="s">
        <v>73</v>
      </c>
      <c r="B67" s="25" t="str">
        <f>CHOOSE('Исходные данные'!$R$2,'Исходные данные'!$S$2,'Исходные данные'!$S$3,'Исходные данные'!$S$4,'Исходные данные'!$S$5)</f>
        <v>RUB</v>
      </c>
      <c r="C67" s="145">
        <f t="shared" ref="C67:N67" si="124">C63-C65</f>
        <v>-13145.454545454544</v>
      </c>
      <c r="D67" s="145">
        <f t="shared" si="124"/>
        <v>16304.090909090912</v>
      </c>
      <c r="E67" s="145">
        <f t="shared" si="124"/>
        <v>252108.73398004437</v>
      </c>
      <c r="F67" s="145">
        <f t="shared" si="124"/>
        <v>143841.24038802664</v>
      </c>
      <c r="G67" s="145">
        <f t="shared" si="124"/>
        <v>87182.896274944564</v>
      </c>
      <c r="H67" s="145">
        <f t="shared" si="124"/>
        <v>8076.8381374722812</v>
      </c>
      <c r="I67" s="145">
        <f t="shared" si="124"/>
        <v>6606.1917960088758</v>
      </c>
      <c r="J67" s="145">
        <f t="shared" si="124"/>
        <v>99381.575388026627</v>
      </c>
      <c r="K67" s="145">
        <f t="shared" si="124"/>
        <v>24034.090909090912</v>
      </c>
      <c r="L67" s="145">
        <f t="shared" si="124"/>
        <v>-12300.454545454544</v>
      </c>
      <c r="M67" s="145">
        <f t="shared" si="124"/>
        <v>-24587.272727272728</v>
      </c>
      <c r="N67" s="145">
        <f t="shared" si="124"/>
        <v>-24587.272727272728</v>
      </c>
      <c r="O67" s="146">
        <f t="shared" si="100"/>
        <v>562915.20323725068</v>
      </c>
      <c r="P67" s="146">
        <f t="shared" si="101"/>
        <v>46909.60026977089</v>
      </c>
      <c r="Q67" s="145">
        <f t="shared" ref="Q67:AB67" si="125">Q63-Q65</f>
        <v>-13145.454545454544</v>
      </c>
      <c r="R67" s="145">
        <f t="shared" si="125"/>
        <v>16304.090909090912</v>
      </c>
      <c r="S67" s="145">
        <f t="shared" si="125"/>
        <v>252108.73398004437</v>
      </c>
      <c r="T67" s="145">
        <f t="shared" si="125"/>
        <v>143841.24038802664</v>
      </c>
      <c r="U67" s="145">
        <f t="shared" si="125"/>
        <v>87182.896274944564</v>
      </c>
      <c r="V67" s="145">
        <f t="shared" si="125"/>
        <v>8076.8381374722812</v>
      </c>
      <c r="W67" s="145">
        <f t="shared" si="125"/>
        <v>6606.1917960088758</v>
      </c>
      <c r="X67" s="145">
        <f t="shared" si="125"/>
        <v>99381.575388026627</v>
      </c>
      <c r="Y67" s="145">
        <f t="shared" si="125"/>
        <v>24034.090909090912</v>
      </c>
      <c r="Z67" s="145">
        <f t="shared" si="125"/>
        <v>-12300.454545454544</v>
      </c>
      <c r="AA67" s="145">
        <f t="shared" si="125"/>
        <v>-24587.272727272728</v>
      </c>
      <c r="AB67" s="145">
        <f t="shared" si="125"/>
        <v>-24587.272727272728</v>
      </c>
      <c r="AC67" s="146">
        <f t="shared" si="103"/>
        <v>562915.20323725068</v>
      </c>
      <c r="AD67" s="146">
        <f t="shared" si="104"/>
        <v>46909.60026977089</v>
      </c>
      <c r="AE67" s="145">
        <f t="shared" ref="AE67:AP67" si="126">AE63-AE65</f>
        <v>-13145.454545454544</v>
      </c>
      <c r="AF67" s="145">
        <f t="shared" si="126"/>
        <v>16304.090909090912</v>
      </c>
      <c r="AG67" s="145">
        <f t="shared" si="126"/>
        <v>252108.73398004437</v>
      </c>
      <c r="AH67" s="145">
        <f t="shared" si="126"/>
        <v>143841.24038802664</v>
      </c>
      <c r="AI67" s="145">
        <f t="shared" si="126"/>
        <v>87182.896274944564</v>
      </c>
      <c r="AJ67" s="145">
        <f t="shared" si="126"/>
        <v>8076.8381374722812</v>
      </c>
      <c r="AK67" s="145">
        <f t="shared" si="126"/>
        <v>6606.1917960088758</v>
      </c>
      <c r="AL67" s="145">
        <f t="shared" si="126"/>
        <v>99381.575388026627</v>
      </c>
      <c r="AM67" s="145">
        <f t="shared" si="126"/>
        <v>24034.090909090912</v>
      </c>
      <c r="AN67" s="145">
        <f t="shared" si="126"/>
        <v>-12300.454545454544</v>
      </c>
      <c r="AO67" s="145">
        <f t="shared" si="126"/>
        <v>-24587.272727272728</v>
      </c>
      <c r="AP67" s="145">
        <f t="shared" si="126"/>
        <v>-24587.272727272728</v>
      </c>
      <c r="AQ67" s="146">
        <f t="shared" si="106"/>
        <v>562915.20323725068</v>
      </c>
      <c r="AR67" s="146">
        <f t="shared" si="107"/>
        <v>46909.60026977089</v>
      </c>
      <c r="AS67" s="149"/>
    </row>
    <row r="68" spans="1:45" s="20" customFormat="1" ht="11.25" x14ac:dyDescent="0.2">
      <c r="A68" s="24" t="str">
        <f>"- Прибыль (убытки) накопительным итогом"</f>
        <v>- Прибыль (убытки) накопительным итогом</v>
      </c>
      <c r="B68" s="25" t="str">
        <f>CHOOSE('Исходные данные'!$R$2,'Исходные данные'!$S$2,'Исходные данные'!$S$3,'Исходные данные'!$S$4,'Исходные данные'!$S$5)</f>
        <v>RUB</v>
      </c>
      <c r="C68" s="145">
        <f t="shared" ref="C68:N68" si="127">C66+IF(ISNUMBER(B68),B68,0)</f>
        <v>-134145.45454545453</v>
      </c>
      <c r="D68" s="145">
        <f t="shared" si="127"/>
        <v>-117841.36363636362</v>
      </c>
      <c r="E68" s="145">
        <f t="shared" si="127"/>
        <v>134267.37034368076</v>
      </c>
      <c r="F68" s="145">
        <f t="shared" si="127"/>
        <v>278108.61073170742</v>
      </c>
      <c r="G68" s="145">
        <f t="shared" si="127"/>
        <v>365291.50700665195</v>
      </c>
      <c r="H68" s="145">
        <f t="shared" si="127"/>
        <v>373368.34514412424</v>
      </c>
      <c r="I68" s="145">
        <f t="shared" si="127"/>
        <v>379974.53694013308</v>
      </c>
      <c r="J68" s="145">
        <f t="shared" si="127"/>
        <v>479356.11232815974</v>
      </c>
      <c r="K68" s="145">
        <f t="shared" si="127"/>
        <v>503390.20323725068</v>
      </c>
      <c r="L68" s="145">
        <f t="shared" si="127"/>
        <v>491089.74869179615</v>
      </c>
      <c r="M68" s="145">
        <f t="shared" si="127"/>
        <v>466502.47596452344</v>
      </c>
      <c r="N68" s="145">
        <f t="shared" si="127"/>
        <v>441915.20323725074</v>
      </c>
      <c r="O68" s="146">
        <f>N68</f>
        <v>441915.20323725074</v>
      </c>
      <c r="P68" s="146"/>
      <c r="Q68" s="145">
        <f>Q66+IF(ISNUMBER(N68),N68,0)</f>
        <v>428769.74869179621</v>
      </c>
      <c r="R68" s="145">
        <f t="shared" ref="R68:AB68" si="128">R66+IF(ISNUMBER(Q68),Q68,0)</f>
        <v>445073.83960088715</v>
      </c>
      <c r="S68" s="145">
        <f t="shared" si="128"/>
        <v>697182.57358093152</v>
      </c>
      <c r="T68" s="145">
        <f t="shared" si="128"/>
        <v>841023.8139689581</v>
      </c>
      <c r="U68" s="145">
        <f t="shared" si="128"/>
        <v>928206.71024390263</v>
      </c>
      <c r="V68" s="145">
        <f t="shared" si="128"/>
        <v>936283.54838137492</v>
      </c>
      <c r="W68" s="145">
        <f t="shared" si="128"/>
        <v>942889.74017738376</v>
      </c>
      <c r="X68" s="145">
        <f t="shared" si="128"/>
        <v>1042271.3155654104</v>
      </c>
      <c r="Y68" s="145">
        <f t="shared" si="128"/>
        <v>1066305.4064745014</v>
      </c>
      <c r="Z68" s="145">
        <f t="shared" si="128"/>
        <v>1054004.9519290468</v>
      </c>
      <c r="AA68" s="145">
        <f t="shared" si="128"/>
        <v>1029417.6792017741</v>
      </c>
      <c r="AB68" s="145">
        <f t="shared" si="128"/>
        <v>1004830.4064745014</v>
      </c>
      <c r="AC68" s="146">
        <f>AB68</f>
        <v>1004830.4064745014</v>
      </c>
      <c r="AD68" s="146"/>
      <c r="AE68" s="145">
        <f>AE66+IF(ISNUMBER(AB68),AB68,0)</f>
        <v>991684.95192904677</v>
      </c>
      <c r="AF68" s="145">
        <f t="shared" ref="AF68:AP68" si="129">AF66+IF(ISNUMBER(AE68),AE68,0)</f>
        <v>1007989.0428381377</v>
      </c>
      <c r="AG68" s="145">
        <f t="shared" si="129"/>
        <v>1260097.7768181821</v>
      </c>
      <c r="AH68" s="145">
        <f t="shared" si="129"/>
        <v>1403939.0172062088</v>
      </c>
      <c r="AI68" s="145">
        <f t="shared" si="129"/>
        <v>1491121.9134811533</v>
      </c>
      <c r="AJ68" s="145">
        <f t="shared" si="129"/>
        <v>1499198.7516186256</v>
      </c>
      <c r="AK68" s="145">
        <f t="shared" si="129"/>
        <v>1505804.9434146346</v>
      </c>
      <c r="AL68" s="145">
        <f t="shared" si="129"/>
        <v>1605186.5188026612</v>
      </c>
      <c r="AM68" s="145">
        <f t="shared" si="129"/>
        <v>1629220.609711752</v>
      </c>
      <c r="AN68" s="145">
        <f t="shared" si="129"/>
        <v>1616920.1551662975</v>
      </c>
      <c r="AO68" s="145">
        <f t="shared" si="129"/>
        <v>1592332.8824390247</v>
      </c>
      <c r="AP68" s="145">
        <f t="shared" si="129"/>
        <v>1567745.609711752</v>
      </c>
      <c r="AQ68" s="146">
        <f>AP68</f>
        <v>1567745.609711752</v>
      </c>
      <c r="AR68" s="146"/>
      <c r="AS68" s="149"/>
    </row>
    <row r="69" spans="1:45" s="20" customFormat="1" ht="12" thickBot="1" x14ac:dyDescent="0.25">
      <c r="O69" s="59"/>
      <c r="P69" s="59"/>
      <c r="AC69" s="59"/>
      <c r="AD69" s="59"/>
      <c r="AQ69" s="59"/>
      <c r="AR69" s="59"/>
    </row>
    <row r="70" spans="1:45" s="20" customFormat="1" ht="24" thickTop="1" thickBot="1" x14ac:dyDescent="0.25">
      <c r="A70" s="18" t="s">
        <v>14</v>
      </c>
      <c r="B70" s="19"/>
      <c r="C70" s="19" t="str">
        <f t="shared" ref="C70:N70" si="130">C$6</f>
        <v>февраль</v>
      </c>
      <c r="D70" s="19" t="str">
        <f t="shared" si="130"/>
        <v>март</v>
      </c>
      <c r="E70" s="19" t="str">
        <f t="shared" si="130"/>
        <v>апрель</v>
      </c>
      <c r="F70" s="19" t="str">
        <f t="shared" si="130"/>
        <v>май</v>
      </c>
      <c r="G70" s="19" t="str">
        <f t="shared" si="130"/>
        <v>июнь</v>
      </c>
      <c r="H70" s="19" t="str">
        <f t="shared" si="130"/>
        <v>июль</v>
      </c>
      <c r="I70" s="19" t="str">
        <f t="shared" si="130"/>
        <v>август</v>
      </c>
      <c r="J70" s="19" t="str">
        <f t="shared" si="130"/>
        <v>сентябрь</v>
      </c>
      <c r="K70" s="19" t="str">
        <f t="shared" si="130"/>
        <v>октябрь</v>
      </c>
      <c r="L70" s="19" t="str">
        <f t="shared" si="130"/>
        <v>ноябрь</v>
      </c>
      <c r="M70" s="19" t="str">
        <f t="shared" si="130"/>
        <v>декабрь</v>
      </c>
      <c r="N70" s="19" t="str">
        <f t="shared" si="130"/>
        <v>январь</v>
      </c>
      <c r="O70" s="123" t="str">
        <f>O60</f>
        <v>Итого за 1-й год</v>
      </c>
      <c r="P70" s="123" t="str">
        <f>P60</f>
        <v>Среднемесячно за 1-й год</v>
      </c>
      <c r="Q70" s="19" t="str">
        <f t="shared" ref="Q70:AB70" si="131">Q$6</f>
        <v>февраль</v>
      </c>
      <c r="R70" s="19" t="str">
        <f t="shared" si="131"/>
        <v>март</v>
      </c>
      <c r="S70" s="19" t="str">
        <f t="shared" si="131"/>
        <v>апрель</v>
      </c>
      <c r="T70" s="19" t="str">
        <f t="shared" si="131"/>
        <v>май</v>
      </c>
      <c r="U70" s="19" t="str">
        <f t="shared" si="131"/>
        <v>июнь</v>
      </c>
      <c r="V70" s="19" t="str">
        <f t="shared" si="131"/>
        <v>июль</v>
      </c>
      <c r="W70" s="19" t="str">
        <f t="shared" si="131"/>
        <v>август</v>
      </c>
      <c r="X70" s="19" t="str">
        <f t="shared" si="131"/>
        <v>сентябрь</v>
      </c>
      <c r="Y70" s="19" t="str">
        <f t="shared" si="131"/>
        <v>октябрь</v>
      </c>
      <c r="Z70" s="19" t="str">
        <f t="shared" si="131"/>
        <v>ноябрь</v>
      </c>
      <c r="AA70" s="19" t="str">
        <f t="shared" si="131"/>
        <v>декабрь</v>
      </c>
      <c r="AB70" s="19" t="str">
        <f t="shared" si="131"/>
        <v>январь</v>
      </c>
      <c r="AC70" s="123" t="str">
        <f>AC60</f>
        <v>Итого за 2-й год</v>
      </c>
      <c r="AD70" s="123" t="str">
        <f>AD60</f>
        <v>Среднемесячно за 2-й год</v>
      </c>
      <c r="AE70" s="19" t="str">
        <f t="shared" ref="AE70:AP70" si="132">AE$6</f>
        <v>февраль</v>
      </c>
      <c r="AF70" s="19" t="str">
        <f t="shared" si="132"/>
        <v>март</v>
      </c>
      <c r="AG70" s="19" t="str">
        <f t="shared" si="132"/>
        <v>апрель</v>
      </c>
      <c r="AH70" s="19" t="str">
        <f t="shared" si="132"/>
        <v>май</v>
      </c>
      <c r="AI70" s="19" t="str">
        <f t="shared" si="132"/>
        <v>июнь</v>
      </c>
      <c r="AJ70" s="19" t="str">
        <f t="shared" si="132"/>
        <v>июль</v>
      </c>
      <c r="AK70" s="19" t="str">
        <f t="shared" si="132"/>
        <v>август</v>
      </c>
      <c r="AL70" s="19" t="str">
        <f t="shared" si="132"/>
        <v>сентябрь</v>
      </c>
      <c r="AM70" s="19" t="str">
        <f t="shared" si="132"/>
        <v>октябрь</v>
      </c>
      <c r="AN70" s="19" t="str">
        <f t="shared" si="132"/>
        <v>ноябрь</v>
      </c>
      <c r="AO70" s="19" t="str">
        <f t="shared" si="132"/>
        <v>декабрь</v>
      </c>
      <c r="AP70" s="19" t="str">
        <f t="shared" si="132"/>
        <v>январь</v>
      </c>
      <c r="AQ70" s="123" t="str">
        <f>AQ60</f>
        <v>Итого за 3-й год</v>
      </c>
      <c r="AR70" s="123" t="str">
        <f>AR60</f>
        <v>Среднемесячно за 3-й год</v>
      </c>
      <c r="AS70" s="133" t="str">
        <f>AS60</f>
        <v>Итого за три года</v>
      </c>
    </row>
    <row r="71" spans="1:45" s="36" customFormat="1" ht="12" thickTop="1" x14ac:dyDescent="0.2">
      <c r="A71" s="46" t="s">
        <v>15</v>
      </c>
      <c r="B71" s="25" t="str">
        <f>CHOOSE('Исходные данные'!$R$2,'Исходные данные'!$S$2,'Исходные данные'!$S$3,'Исходные данные'!$S$4,'Исходные данные'!$S$5)</f>
        <v>RUB</v>
      </c>
      <c r="C71" s="37">
        <f t="shared" ref="C71:N71" si="133">C61</f>
        <v>145000</v>
      </c>
      <c r="D71" s="37">
        <f t="shared" si="133"/>
        <v>293500</v>
      </c>
      <c r="E71" s="37">
        <f t="shared" si="133"/>
        <v>1001407.5</v>
      </c>
      <c r="F71" s="37">
        <f t="shared" si="133"/>
        <v>635644.5</v>
      </c>
      <c r="G71" s="37">
        <f t="shared" si="133"/>
        <v>449626</v>
      </c>
      <c r="H71" s="37">
        <f t="shared" si="133"/>
        <v>204200</v>
      </c>
      <c r="I71" s="37">
        <f t="shared" si="133"/>
        <v>193750</v>
      </c>
      <c r="J71" s="37">
        <f t="shared" si="133"/>
        <v>566150</v>
      </c>
      <c r="K71" s="37">
        <f t="shared" si="133"/>
        <v>322500</v>
      </c>
      <c r="L71" s="37">
        <f t="shared" si="133"/>
        <v>148500</v>
      </c>
      <c r="M71" s="37">
        <f t="shared" si="133"/>
        <v>87000</v>
      </c>
      <c r="N71" s="37">
        <f t="shared" si="133"/>
        <v>87000</v>
      </c>
      <c r="O71" s="56">
        <f>SUM(C71:N71)</f>
        <v>4134278</v>
      </c>
      <c r="P71" s="56">
        <f>O71/12</f>
        <v>344523.16666666669</v>
      </c>
      <c r="Q71" s="37">
        <f t="shared" ref="Q71:AB71" si="134">Q61</f>
        <v>145000</v>
      </c>
      <c r="R71" s="37">
        <f t="shared" si="134"/>
        <v>293500</v>
      </c>
      <c r="S71" s="37">
        <f t="shared" si="134"/>
        <v>1001407.5</v>
      </c>
      <c r="T71" s="37">
        <f t="shared" si="134"/>
        <v>635644.5</v>
      </c>
      <c r="U71" s="37">
        <f t="shared" si="134"/>
        <v>449626</v>
      </c>
      <c r="V71" s="37">
        <f t="shared" si="134"/>
        <v>204200</v>
      </c>
      <c r="W71" s="37">
        <f t="shared" si="134"/>
        <v>193750</v>
      </c>
      <c r="X71" s="37">
        <f t="shared" si="134"/>
        <v>566150</v>
      </c>
      <c r="Y71" s="37">
        <f t="shared" si="134"/>
        <v>322500</v>
      </c>
      <c r="Z71" s="37">
        <f t="shared" si="134"/>
        <v>148500</v>
      </c>
      <c r="AA71" s="37">
        <f t="shared" si="134"/>
        <v>87000</v>
      </c>
      <c r="AB71" s="37">
        <f t="shared" si="134"/>
        <v>87000</v>
      </c>
      <c r="AC71" s="56">
        <f>SUM(Q71:AB71)</f>
        <v>4134278</v>
      </c>
      <c r="AD71" s="56">
        <f>AC71/12</f>
        <v>344523.16666666669</v>
      </c>
      <c r="AE71" s="37">
        <f t="shared" ref="AE71:AP71" si="135">AE61</f>
        <v>145000</v>
      </c>
      <c r="AF71" s="37">
        <f t="shared" si="135"/>
        <v>293500</v>
      </c>
      <c r="AG71" s="37">
        <f t="shared" si="135"/>
        <v>1001407.5</v>
      </c>
      <c r="AH71" s="37">
        <f t="shared" si="135"/>
        <v>635644.5</v>
      </c>
      <c r="AI71" s="37">
        <f t="shared" si="135"/>
        <v>449626</v>
      </c>
      <c r="AJ71" s="37">
        <f t="shared" si="135"/>
        <v>204200</v>
      </c>
      <c r="AK71" s="37">
        <f t="shared" si="135"/>
        <v>193750</v>
      </c>
      <c r="AL71" s="37">
        <f t="shared" si="135"/>
        <v>566150</v>
      </c>
      <c r="AM71" s="37">
        <f t="shared" si="135"/>
        <v>322500</v>
      </c>
      <c r="AN71" s="37">
        <f t="shared" si="135"/>
        <v>148500</v>
      </c>
      <c r="AO71" s="37">
        <f t="shared" si="135"/>
        <v>87000</v>
      </c>
      <c r="AP71" s="37">
        <f t="shared" si="135"/>
        <v>87000</v>
      </c>
      <c r="AQ71" s="56">
        <f>SUM(AE71:AP71)</f>
        <v>4134278</v>
      </c>
      <c r="AR71" s="56">
        <f>AQ71/12</f>
        <v>344523.16666666669</v>
      </c>
      <c r="AS71" s="140">
        <f>O71+AC71+AQ71</f>
        <v>12402834</v>
      </c>
    </row>
    <row r="72" spans="1:45" s="36" customFormat="1" ht="11.25" x14ac:dyDescent="0.2">
      <c r="A72" s="46" t="s">
        <v>1</v>
      </c>
      <c r="B72" s="25" t="str">
        <f>CHOOSE('Исходные данные'!$R$2,'Исходные данные'!$S$2,'Исходные данные'!$S$3,'Исходные данные'!$S$4,'Исходные данные'!$S$5)</f>
        <v>RUB</v>
      </c>
      <c r="C72" s="141">
        <f t="shared" ref="C72:N72" si="136">-(C58+C29)</f>
        <v>-158145.45454545453</v>
      </c>
      <c r="D72" s="141">
        <f t="shared" si="136"/>
        <v>-277195.90909090906</v>
      </c>
      <c r="E72" s="141">
        <f t="shared" si="136"/>
        <v>-749298.76601995563</v>
      </c>
      <c r="F72" s="141">
        <f t="shared" si="136"/>
        <v>-491803.25961197336</v>
      </c>
      <c r="G72" s="141">
        <f t="shared" si="136"/>
        <v>-362443.10372505541</v>
      </c>
      <c r="H72" s="141">
        <f t="shared" si="136"/>
        <v>-196123.16186252772</v>
      </c>
      <c r="I72" s="141">
        <f t="shared" si="136"/>
        <v>-187143.80820399112</v>
      </c>
      <c r="J72" s="141">
        <f t="shared" si="136"/>
        <v>-466768.42461197334</v>
      </c>
      <c r="K72" s="141">
        <f t="shared" si="136"/>
        <v>-298465.90909090906</v>
      </c>
      <c r="L72" s="141">
        <f t="shared" si="136"/>
        <v>-160800.45454545453</v>
      </c>
      <c r="M72" s="141">
        <f t="shared" si="136"/>
        <v>-111587.27272727274</v>
      </c>
      <c r="N72" s="141">
        <f t="shared" si="136"/>
        <v>-111587.27272727274</v>
      </c>
      <c r="O72" s="56">
        <f>SUM(C72:N72)</f>
        <v>-3571362.79676275</v>
      </c>
      <c r="P72" s="56">
        <f>O72/12</f>
        <v>-297613.56639689585</v>
      </c>
      <c r="Q72" s="141">
        <f t="shared" ref="Q72:AB72" si="137">-(Q58+Q29)</f>
        <v>-158145.45454545453</v>
      </c>
      <c r="R72" s="141">
        <f t="shared" si="137"/>
        <v>-277195.90909090906</v>
      </c>
      <c r="S72" s="141">
        <f t="shared" si="137"/>
        <v>-749298.76601995563</v>
      </c>
      <c r="T72" s="141">
        <f t="shared" si="137"/>
        <v>-491803.25961197336</v>
      </c>
      <c r="U72" s="141">
        <f t="shared" si="137"/>
        <v>-362443.10372505541</v>
      </c>
      <c r="V72" s="141">
        <f t="shared" si="137"/>
        <v>-196123.16186252772</v>
      </c>
      <c r="W72" s="141">
        <f t="shared" si="137"/>
        <v>-187143.80820399112</v>
      </c>
      <c r="X72" s="141">
        <f t="shared" si="137"/>
        <v>-466768.42461197334</v>
      </c>
      <c r="Y72" s="141">
        <f t="shared" si="137"/>
        <v>-298465.90909090906</v>
      </c>
      <c r="Z72" s="141">
        <f t="shared" si="137"/>
        <v>-160800.45454545453</v>
      </c>
      <c r="AA72" s="141">
        <f t="shared" si="137"/>
        <v>-111587.27272727274</v>
      </c>
      <c r="AB72" s="141">
        <f t="shared" si="137"/>
        <v>-111587.27272727274</v>
      </c>
      <c r="AC72" s="56">
        <f>SUM(Q72:AB72)</f>
        <v>-3571362.79676275</v>
      </c>
      <c r="AD72" s="56">
        <f>AC72/12</f>
        <v>-297613.56639689585</v>
      </c>
      <c r="AE72" s="141">
        <f t="shared" ref="AE72:AP72" si="138">-(AE58+AE29)</f>
        <v>-158145.45454545453</v>
      </c>
      <c r="AF72" s="141">
        <f t="shared" si="138"/>
        <v>-277195.90909090906</v>
      </c>
      <c r="AG72" s="141">
        <f t="shared" si="138"/>
        <v>-749298.76601995563</v>
      </c>
      <c r="AH72" s="141">
        <f t="shared" si="138"/>
        <v>-491803.25961197336</v>
      </c>
      <c r="AI72" s="141">
        <f t="shared" si="138"/>
        <v>-362443.10372505541</v>
      </c>
      <c r="AJ72" s="141">
        <f t="shared" si="138"/>
        <v>-196123.16186252772</v>
      </c>
      <c r="AK72" s="141">
        <f t="shared" si="138"/>
        <v>-187143.80820399112</v>
      </c>
      <c r="AL72" s="141">
        <f t="shared" si="138"/>
        <v>-466768.42461197334</v>
      </c>
      <c r="AM72" s="141">
        <f t="shared" si="138"/>
        <v>-298465.90909090906</v>
      </c>
      <c r="AN72" s="141">
        <f t="shared" si="138"/>
        <v>-160800.45454545453</v>
      </c>
      <c r="AO72" s="141">
        <f t="shared" si="138"/>
        <v>-111587.27272727274</v>
      </c>
      <c r="AP72" s="141">
        <f t="shared" si="138"/>
        <v>-111587.27272727274</v>
      </c>
      <c r="AQ72" s="56">
        <f>SUM(AE72:AP72)</f>
        <v>-3571362.79676275</v>
      </c>
      <c r="AR72" s="56">
        <f>AQ72/12</f>
        <v>-297613.56639689585</v>
      </c>
      <c r="AS72" s="140">
        <f>O72+AC72+AQ72</f>
        <v>-10714088.390288251</v>
      </c>
    </row>
    <row r="73" spans="1:45" s="36" customFormat="1" ht="11.25" x14ac:dyDescent="0.2">
      <c r="A73" s="46" t="s">
        <v>16</v>
      </c>
      <c r="B73" s="25" t="str">
        <f>CHOOSE('Исходные данные'!$R$2,'Исходные данные'!$S$2,'Исходные данные'!$S$3,'Исходные данные'!$S$4,'Исходные данные'!$S$5)</f>
        <v>RUB</v>
      </c>
      <c r="C73" s="141">
        <f t="shared" ref="C73:N73" si="139">SUM(C71:C72)</f>
        <v>-13145.45454545453</v>
      </c>
      <c r="D73" s="37">
        <f t="shared" si="139"/>
        <v>16304.090909090941</v>
      </c>
      <c r="E73" s="37">
        <f t="shared" si="139"/>
        <v>252108.73398004437</v>
      </c>
      <c r="F73" s="37">
        <f t="shared" si="139"/>
        <v>143841.24038802664</v>
      </c>
      <c r="G73" s="37">
        <f t="shared" si="139"/>
        <v>87182.896274944593</v>
      </c>
      <c r="H73" s="37">
        <f t="shared" si="139"/>
        <v>8076.8381374722812</v>
      </c>
      <c r="I73" s="37">
        <f t="shared" si="139"/>
        <v>6606.1917960088758</v>
      </c>
      <c r="J73" s="141">
        <f t="shared" si="139"/>
        <v>99381.575388026657</v>
      </c>
      <c r="K73" s="141">
        <f t="shared" si="139"/>
        <v>24034.090909090941</v>
      </c>
      <c r="L73" s="141">
        <f t="shared" si="139"/>
        <v>-12300.45454545453</v>
      </c>
      <c r="M73" s="141">
        <f t="shared" si="139"/>
        <v>-24587.272727272735</v>
      </c>
      <c r="N73" s="141">
        <f t="shared" si="139"/>
        <v>-24587.272727272735</v>
      </c>
      <c r="O73" s="56">
        <f>SUM(C73:N73)</f>
        <v>562915.20323725091</v>
      </c>
      <c r="P73" s="56">
        <f>O73/12</f>
        <v>46909.600269770912</v>
      </c>
      <c r="Q73" s="141">
        <f t="shared" ref="Q73:AB73" si="140">SUM(Q71:Q72)</f>
        <v>-13145.45454545453</v>
      </c>
      <c r="R73" s="37">
        <f t="shared" si="140"/>
        <v>16304.090909090941</v>
      </c>
      <c r="S73" s="37">
        <f t="shared" si="140"/>
        <v>252108.73398004437</v>
      </c>
      <c r="T73" s="37">
        <f t="shared" si="140"/>
        <v>143841.24038802664</v>
      </c>
      <c r="U73" s="37">
        <f t="shared" si="140"/>
        <v>87182.896274944593</v>
      </c>
      <c r="V73" s="37">
        <f t="shared" si="140"/>
        <v>8076.8381374722812</v>
      </c>
      <c r="W73" s="37">
        <f t="shared" si="140"/>
        <v>6606.1917960088758</v>
      </c>
      <c r="X73" s="141">
        <f t="shared" si="140"/>
        <v>99381.575388026657</v>
      </c>
      <c r="Y73" s="141">
        <f t="shared" si="140"/>
        <v>24034.090909090941</v>
      </c>
      <c r="Z73" s="141">
        <f t="shared" si="140"/>
        <v>-12300.45454545453</v>
      </c>
      <c r="AA73" s="141">
        <f t="shared" si="140"/>
        <v>-24587.272727272735</v>
      </c>
      <c r="AB73" s="141">
        <f t="shared" si="140"/>
        <v>-24587.272727272735</v>
      </c>
      <c r="AC73" s="56">
        <f>SUM(Q73:AB73)</f>
        <v>562915.20323725091</v>
      </c>
      <c r="AD73" s="56">
        <f>AC73/12</f>
        <v>46909.600269770912</v>
      </c>
      <c r="AE73" s="141">
        <f t="shared" ref="AE73:AP73" si="141">SUM(AE71:AE72)</f>
        <v>-13145.45454545453</v>
      </c>
      <c r="AF73" s="37">
        <f t="shared" si="141"/>
        <v>16304.090909090941</v>
      </c>
      <c r="AG73" s="37">
        <f t="shared" si="141"/>
        <v>252108.73398004437</v>
      </c>
      <c r="AH73" s="37">
        <f t="shared" si="141"/>
        <v>143841.24038802664</v>
      </c>
      <c r="AI73" s="37">
        <f t="shared" si="141"/>
        <v>87182.896274944593</v>
      </c>
      <c r="AJ73" s="37">
        <f t="shared" si="141"/>
        <v>8076.8381374722812</v>
      </c>
      <c r="AK73" s="37">
        <f t="shared" si="141"/>
        <v>6606.1917960088758</v>
      </c>
      <c r="AL73" s="141">
        <f t="shared" si="141"/>
        <v>99381.575388026657</v>
      </c>
      <c r="AM73" s="141">
        <f t="shared" si="141"/>
        <v>24034.090909090941</v>
      </c>
      <c r="AN73" s="141">
        <f t="shared" si="141"/>
        <v>-12300.45454545453</v>
      </c>
      <c r="AO73" s="141">
        <f t="shared" si="141"/>
        <v>-24587.272727272735</v>
      </c>
      <c r="AP73" s="141">
        <f t="shared" si="141"/>
        <v>-24587.272727272735</v>
      </c>
      <c r="AQ73" s="56">
        <f>SUM(AE73:AP73)</f>
        <v>562915.20323725091</v>
      </c>
      <c r="AR73" s="56">
        <f>AQ73/12</f>
        <v>46909.600269770912</v>
      </c>
      <c r="AS73" s="140">
        <f>O73+AC73+AQ73</f>
        <v>1688745.6097117527</v>
      </c>
    </row>
    <row r="74" spans="1:45" s="36" customFormat="1" ht="11.25" x14ac:dyDescent="0.2">
      <c r="A74" s="46" t="s">
        <v>17</v>
      </c>
      <c r="B74" s="25" t="str">
        <f>CHOOSE('Исходные данные'!$R$2,'Исходные данные'!$S$2,'Исходные данные'!$S$3,'Исходные данные'!$S$4,'Исходные данные'!$S$5)</f>
        <v>RUB</v>
      </c>
      <c r="C74" s="141">
        <f>-(C40)</f>
        <v>-121000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141">
        <v>0</v>
      </c>
      <c r="K74" s="141">
        <v>0</v>
      </c>
      <c r="L74" s="141">
        <v>0</v>
      </c>
      <c r="M74" s="141">
        <v>0</v>
      </c>
      <c r="N74" s="141">
        <v>0</v>
      </c>
      <c r="O74" s="56">
        <f>SUM(C74:N74)</f>
        <v>-121000</v>
      </c>
      <c r="P74" s="56"/>
      <c r="Q74" s="141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41">
        <v>0</v>
      </c>
      <c r="Y74" s="141">
        <v>0</v>
      </c>
      <c r="Z74" s="141">
        <v>0</v>
      </c>
      <c r="AA74" s="141">
        <v>0</v>
      </c>
      <c r="AB74" s="141">
        <v>0</v>
      </c>
      <c r="AC74" s="56">
        <f>SUM(Q74:AB74)</f>
        <v>0</v>
      </c>
      <c r="AD74" s="56"/>
      <c r="AE74" s="141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141">
        <v>0</v>
      </c>
      <c r="AM74" s="141">
        <v>0</v>
      </c>
      <c r="AN74" s="141">
        <v>0</v>
      </c>
      <c r="AO74" s="141">
        <v>0</v>
      </c>
      <c r="AP74" s="141">
        <v>0</v>
      </c>
      <c r="AQ74" s="56">
        <f>SUM(AE74:AP74)</f>
        <v>0</v>
      </c>
      <c r="AR74" s="56"/>
      <c r="AS74" s="140">
        <f>O74+AC74+AQ74</f>
        <v>-121000</v>
      </c>
    </row>
    <row r="75" spans="1:45" s="73" customFormat="1" ht="11.25" x14ac:dyDescent="0.2">
      <c r="A75" s="72" t="s">
        <v>18</v>
      </c>
      <c r="B75" s="70" t="str">
        <f>CHOOSE('Исходные данные'!$R$2,'Исходные данные'!$S$2,'Исходные данные'!$S$3,'Исходные данные'!$S$4,'Исходные данные'!$S$5)</f>
        <v>RUB</v>
      </c>
      <c r="C75" s="139">
        <f>-C74</f>
        <v>121000</v>
      </c>
      <c r="D75" s="139">
        <v>0</v>
      </c>
      <c r="E75" s="139">
        <v>0</v>
      </c>
      <c r="F75" s="139">
        <v>0</v>
      </c>
      <c r="G75" s="139">
        <v>0</v>
      </c>
      <c r="H75" s="139">
        <v>0</v>
      </c>
      <c r="I75" s="139">
        <v>0</v>
      </c>
      <c r="J75" s="139">
        <v>0</v>
      </c>
      <c r="K75" s="139">
        <v>0</v>
      </c>
      <c r="L75" s="139">
        <v>0</v>
      </c>
      <c r="M75" s="139">
        <v>0</v>
      </c>
      <c r="N75" s="139">
        <v>0</v>
      </c>
      <c r="O75" s="56">
        <f>SUM(C75:N75)</f>
        <v>121000</v>
      </c>
      <c r="P75" s="56"/>
      <c r="Q75" s="139">
        <v>0</v>
      </c>
      <c r="R75" s="139">
        <v>0</v>
      </c>
      <c r="S75" s="139">
        <v>0</v>
      </c>
      <c r="T75" s="139">
        <v>0</v>
      </c>
      <c r="U75" s="139">
        <v>0</v>
      </c>
      <c r="V75" s="139">
        <v>0</v>
      </c>
      <c r="W75" s="139">
        <v>0</v>
      </c>
      <c r="X75" s="139">
        <v>0</v>
      </c>
      <c r="Y75" s="139">
        <v>0</v>
      </c>
      <c r="Z75" s="139">
        <v>0</v>
      </c>
      <c r="AA75" s="139">
        <v>0</v>
      </c>
      <c r="AB75" s="139">
        <v>0</v>
      </c>
      <c r="AC75" s="56">
        <f>SUM(Q75:AB75)</f>
        <v>0</v>
      </c>
      <c r="AD75" s="56"/>
      <c r="AE75" s="139">
        <v>0</v>
      </c>
      <c r="AF75" s="139">
        <v>0</v>
      </c>
      <c r="AG75" s="139">
        <v>0</v>
      </c>
      <c r="AH75" s="139">
        <v>0</v>
      </c>
      <c r="AI75" s="139">
        <v>0</v>
      </c>
      <c r="AJ75" s="139">
        <v>0</v>
      </c>
      <c r="AK75" s="139">
        <v>0</v>
      </c>
      <c r="AL75" s="139">
        <v>0</v>
      </c>
      <c r="AM75" s="139">
        <v>0</v>
      </c>
      <c r="AN75" s="139">
        <v>0</v>
      </c>
      <c r="AO75" s="139">
        <v>0</v>
      </c>
      <c r="AP75" s="139">
        <v>0</v>
      </c>
      <c r="AQ75" s="56">
        <f>SUM(AE75:AP75)</f>
        <v>0</v>
      </c>
      <c r="AR75" s="56"/>
      <c r="AS75" s="138">
        <f>O75+AC75+AQ75</f>
        <v>121000</v>
      </c>
    </row>
    <row r="76" spans="1:45" s="36" customFormat="1" ht="11.25" x14ac:dyDescent="0.2">
      <c r="A76" s="46" t="s">
        <v>19</v>
      </c>
      <c r="B76" s="25" t="str">
        <f>CHOOSE('Исходные данные'!$R$2,'Исходные данные'!$S$2,'Исходные данные'!$S$3,'Исходные данные'!$S$4,'Исходные данные'!$S$5)</f>
        <v>RUB</v>
      </c>
      <c r="C76" s="141">
        <v>0</v>
      </c>
      <c r="D76" s="37">
        <f>C77</f>
        <v>-13145.45454545453</v>
      </c>
      <c r="E76" s="37">
        <f t="shared" ref="E76:N76" si="142">D77</f>
        <v>3158.6363636364113</v>
      </c>
      <c r="F76" s="37">
        <f t="shared" si="142"/>
        <v>255267.37034368078</v>
      </c>
      <c r="G76" s="37">
        <f t="shared" si="142"/>
        <v>399108.61073170742</v>
      </c>
      <c r="H76" s="37">
        <f t="shared" si="142"/>
        <v>486291.50700665201</v>
      </c>
      <c r="I76" s="37">
        <f t="shared" si="142"/>
        <v>494368.34514412429</v>
      </c>
      <c r="J76" s="141">
        <f t="shared" si="142"/>
        <v>500974.5369401332</v>
      </c>
      <c r="K76" s="141">
        <f t="shared" si="142"/>
        <v>600356.11232815986</v>
      </c>
      <c r="L76" s="141">
        <f t="shared" si="142"/>
        <v>624390.2032372508</v>
      </c>
      <c r="M76" s="141">
        <f t="shared" si="142"/>
        <v>612089.74869179633</v>
      </c>
      <c r="N76" s="141">
        <f t="shared" si="142"/>
        <v>587502.47596452362</v>
      </c>
      <c r="O76" s="142">
        <f>C76</f>
        <v>0</v>
      </c>
      <c r="P76" s="142"/>
      <c r="Q76" s="141">
        <f>N77</f>
        <v>562915.20323725091</v>
      </c>
      <c r="R76" s="37">
        <f t="shared" ref="R76:AB76" si="143">Q77</f>
        <v>549769.74869179633</v>
      </c>
      <c r="S76" s="37">
        <f t="shared" si="143"/>
        <v>566073.83960088727</v>
      </c>
      <c r="T76" s="37">
        <f t="shared" si="143"/>
        <v>818182.57358093164</v>
      </c>
      <c r="U76" s="37">
        <f t="shared" si="143"/>
        <v>962023.81396895833</v>
      </c>
      <c r="V76" s="37">
        <f t="shared" si="143"/>
        <v>1049206.7102439029</v>
      </c>
      <c r="W76" s="37">
        <f t="shared" si="143"/>
        <v>1057283.5483813751</v>
      </c>
      <c r="X76" s="141">
        <f t="shared" si="143"/>
        <v>1063889.7401773841</v>
      </c>
      <c r="Y76" s="141">
        <f t="shared" si="143"/>
        <v>1163271.3155654108</v>
      </c>
      <c r="Z76" s="141">
        <f t="shared" si="143"/>
        <v>1187305.4064745018</v>
      </c>
      <c r="AA76" s="141">
        <f t="shared" si="143"/>
        <v>1175004.9519290472</v>
      </c>
      <c r="AB76" s="141">
        <f t="shared" si="143"/>
        <v>1150417.6792017745</v>
      </c>
      <c r="AC76" s="142">
        <f>Q76</f>
        <v>562915.20323725091</v>
      </c>
      <c r="AD76" s="142"/>
      <c r="AE76" s="141">
        <f>AB77</f>
        <v>1125830.4064745018</v>
      </c>
      <c r="AF76" s="37">
        <f t="shared" ref="AF76:AP76" si="144">AE77</f>
        <v>1112684.9519290472</v>
      </c>
      <c r="AG76" s="37">
        <f t="shared" si="144"/>
        <v>1128989.0428381381</v>
      </c>
      <c r="AH76" s="37">
        <f t="shared" si="144"/>
        <v>1381097.7768181823</v>
      </c>
      <c r="AI76" s="37">
        <f t="shared" si="144"/>
        <v>1524939.017206209</v>
      </c>
      <c r="AJ76" s="37">
        <f t="shared" si="144"/>
        <v>1612121.9134811535</v>
      </c>
      <c r="AK76" s="37">
        <f t="shared" si="144"/>
        <v>1620198.7516186258</v>
      </c>
      <c r="AL76" s="141">
        <f t="shared" si="144"/>
        <v>1626804.9434146348</v>
      </c>
      <c r="AM76" s="141">
        <f t="shared" si="144"/>
        <v>1726186.5188026614</v>
      </c>
      <c r="AN76" s="141">
        <f t="shared" si="144"/>
        <v>1750220.6097117523</v>
      </c>
      <c r="AO76" s="141">
        <f t="shared" si="144"/>
        <v>1737920.1551662977</v>
      </c>
      <c r="AP76" s="141">
        <f t="shared" si="144"/>
        <v>1713332.882439025</v>
      </c>
      <c r="AQ76" s="142">
        <f>AE76</f>
        <v>1125830.4064745018</v>
      </c>
      <c r="AR76" s="142"/>
      <c r="AS76" s="140">
        <f>O76</f>
        <v>0</v>
      </c>
    </row>
    <row r="77" spans="1:45" s="36" customFormat="1" ht="11.25" x14ac:dyDescent="0.2">
      <c r="A77" s="46" t="s">
        <v>20</v>
      </c>
      <c r="B77" s="25" t="str">
        <f>CHOOSE('Исходные данные'!$R$2,'Исходные данные'!$S$2,'Исходные данные'!$S$3,'Исходные данные'!$S$4,'Исходные данные'!$S$5)</f>
        <v>RUB</v>
      </c>
      <c r="C77" s="141">
        <f>C73+C74+C75+C76</f>
        <v>-13145.45454545453</v>
      </c>
      <c r="D77" s="37">
        <f>D73+D74+D75+D76</f>
        <v>3158.6363636364113</v>
      </c>
      <c r="E77" s="37">
        <f t="shared" ref="E77:N77" si="145">E73+E74+E75+E76</f>
        <v>255267.37034368078</v>
      </c>
      <c r="F77" s="37">
        <f t="shared" si="145"/>
        <v>399108.61073170742</v>
      </c>
      <c r="G77" s="37">
        <f t="shared" si="145"/>
        <v>486291.50700665201</v>
      </c>
      <c r="H77" s="37">
        <f t="shared" si="145"/>
        <v>494368.34514412429</v>
      </c>
      <c r="I77" s="37">
        <f t="shared" si="145"/>
        <v>500974.5369401332</v>
      </c>
      <c r="J77" s="141">
        <f t="shared" si="145"/>
        <v>600356.11232815986</v>
      </c>
      <c r="K77" s="141">
        <f t="shared" si="145"/>
        <v>624390.2032372508</v>
      </c>
      <c r="L77" s="141">
        <f t="shared" si="145"/>
        <v>612089.74869179633</v>
      </c>
      <c r="M77" s="141">
        <f t="shared" si="145"/>
        <v>587502.47596452362</v>
      </c>
      <c r="N77" s="141">
        <f t="shared" si="145"/>
        <v>562915.20323725091</v>
      </c>
      <c r="O77" s="142">
        <f>N77</f>
        <v>562915.20323725091</v>
      </c>
      <c r="P77" s="142"/>
      <c r="Q77" s="141">
        <f>Q73+Q74+Q75+Q76</f>
        <v>549769.74869179633</v>
      </c>
      <c r="R77" s="37">
        <f>R73+R74+R75+R76</f>
        <v>566073.83960088727</v>
      </c>
      <c r="S77" s="37">
        <f t="shared" ref="S77:AB77" si="146">S73+S74+S75+S76</f>
        <v>818182.57358093164</v>
      </c>
      <c r="T77" s="37">
        <f t="shared" si="146"/>
        <v>962023.81396895833</v>
      </c>
      <c r="U77" s="37">
        <f t="shared" si="146"/>
        <v>1049206.7102439029</v>
      </c>
      <c r="V77" s="37">
        <f t="shared" si="146"/>
        <v>1057283.5483813751</v>
      </c>
      <c r="W77" s="37">
        <f t="shared" si="146"/>
        <v>1063889.7401773841</v>
      </c>
      <c r="X77" s="141">
        <f t="shared" si="146"/>
        <v>1163271.3155654108</v>
      </c>
      <c r="Y77" s="141">
        <f t="shared" si="146"/>
        <v>1187305.4064745018</v>
      </c>
      <c r="Z77" s="141">
        <f t="shared" si="146"/>
        <v>1175004.9519290472</v>
      </c>
      <c r="AA77" s="141">
        <f t="shared" si="146"/>
        <v>1150417.6792017745</v>
      </c>
      <c r="AB77" s="141">
        <f t="shared" si="146"/>
        <v>1125830.4064745018</v>
      </c>
      <c r="AC77" s="142">
        <f>AB77</f>
        <v>1125830.4064745018</v>
      </c>
      <c r="AD77" s="142"/>
      <c r="AE77" s="141">
        <f>AE73+AE74+AE75+AE76</f>
        <v>1112684.9519290472</v>
      </c>
      <c r="AF77" s="37">
        <f>AF73+AF74+AF75+AF76</f>
        <v>1128989.0428381381</v>
      </c>
      <c r="AG77" s="37">
        <f t="shared" ref="AG77:AP77" si="147">AG73+AG74+AG75+AG76</f>
        <v>1381097.7768181823</v>
      </c>
      <c r="AH77" s="37">
        <f t="shared" si="147"/>
        <v>1524939.017206209</v>
      </c>
      <c r="AI77" s="37">
        <f t="shared" si="147"/>
        <v>1612121.9134811535</v>
      </c>
      <c r="AJ77" s="37">
        <f t="shared" si="147"/>
        <v>1620198.7516186258</v>
      </c>
      <c r="AK77" s="37">
        <f t="shared" si="147"/>
        <v>1626804.9434146348</v>
      </c>
      <c r="AL77" s="141">
        <f t="shared" si="147"/>
        <v>1726186.5188026614</v>
      </c>
      <c r="AM77" s="141">
        <f t="shared" si="147"/>
        <v>1750220.6097117523</v>
      </c>
      <c r="AN77" s="141">
        <f t="shared" si="147"/>
        <v>1737920.1551662977</v>
      </c>
      <c r="AO77" s="141">
        <f t="shared" si="147"/>
        <v>1713332.882439025</v>
      </c>
      <c r="AP77" s="141">
        <f t="shared" si="147"/>
        <v>1688745.6097117523</v>
      </c>
      <c r="AQ77" s="142">
        <f>AP77</f>
        <v>1688745.6097117523</v>
      </c>
      <c r="AR77" s="142"/>
      <c r="AS77" s="140">
        <f>AQ77</f>
        <v>1688745.6097117523</v>
      </c>
    </row>
    <row r="78" spans="1:45" s="20" customFormat="1" ht="12" thickBot="1" x14ac:dyDescent="0.25">
      <c r="O78" s="59"/>
      <c r="P78" s="59"/>
      <c r="AC78" s="59"/>
      <c r="AD78" s="59"/>
      <c r="AQ78" s="59"/>
      <c r="AR78" s="59"/>
    </row>
    <row r="79" spans="1:45" s="20" customFormat="1" thickTop="1" thickBot="1" x14ac:dyDescent="0.25">
      <c r="A79" s="18" t="s">
        <v>21</v>
      </c>
      <c r="B79" s="19"/>
      <c r="C79" s="19" t="str">
        <f t="shared" ref="C79:AP79" si="148">C$6</f>
        <v>февраль</v>
      </c>
      <c r="D79" s="19" t="str">
        <f t="shared" si="148"/>
        <v>март</v>
      </c>
      <c r="E79" s="19" t="str">
        <f t="shared" si="148"/>
        <v>апрель</v>
      </c>
      <c r="F79" s="19" t="str">
        <f t="shared" si="148"/>
        <v>май</v>
      </c>
      <c r="G79" s="19" t="str">
        <f t="shared" si="148"/>
        <v>июнь</v>
      </c>
      <c r="H79" s="19" t="str">
        <f t="shared" si="148"/>
        <v>июль</v>
      </c>
      <c r="I79" s="19" t="str">
        <f t="shared" si="148"/>
        <v>август</v>
      </c>
      <c r="J79" s="19" t="str">
        <f t="shared" si="148"/>
        <v>сентябрь</v>
      </c>
      <c r="K79" s="19" t="str">
        <f t="shared" si="148"/>
        <v>октябрь</v>
      </c>
      <c r="L79" s="19" t="str">
        <f t="shared" si="148"/>
        <v>ноябрь</v>
      </c>
      <c r="M79" s="19" t="str">
        <f t="shared" si="148"/>
        <v>декабрь</v>
      </c>
      <c r="N79" s="19" t="str">
        <f t="shared" si="148"/>
        <v>январь</v>
      </c>
      <c r="O79" s="126"/>
      <c r="P79" s="126"/>
      <c r="Q79" s="19" t="str">
        <f t="shared" si="148"/>
        <v>февраль</v>
      </c>
      <c r="R79" s="19" t="str">
        <f t="shared" si="148"/>
        <v>март</v>
      </c>
      <c r="S79" s="19" t="str">
        <f t="shared" si="148"/>
        <v>апрель</v>
      </c>
      <c r="T79" s="19" t="str">
        <f t="shared" si="148"/>
        <v>май</v>
      </c>
      <c r="U79" s="19" t="str">
        <f t="shared" si="148"/>
        <v>июнь</v>
      </c>
      <c r="V79" s="19" t="str">
        <f t="shared" si="148"/>
        <v>июль</v>
      </c>
      <c r="W79" s="19" t="str">
        <f t="shared" si="148"/>
        <v>август</v>
      </c>
      <c r="X79" s="19" t="str">
        <f t="shared" si="148"/>
        <v>сентябрь</v>
      </c>
      <c r="Y79" s="19" t="str">
        <f t="shared" si="148"/>
        <v>октябрь</v>
      </c>
      <c r="Z79" s="19" t="str">
        <f t="shared" si="148"/>
        <v>ноябрь</v>
      </c>
      <c r="AA79" s="19" t="str">
        <f t="shared" si="148"/>
        <v>декабрь</v>
      </c>
      <c r="AB79" s="19" t="str">
        <f t="shared" si="148"/>
        <v>январь</v>
      </c>
      <c r="AC79" s="126"/>
      <c r="AD79" s="126"/>
      <c r="AE79" s="19" t="str">
        <f t="shared" si="148"/>
        <v>февраль</v>
      </c>
      <c r="AF79" s="19" t="str">
        <f t="shared" si="148"/>
        <v>март</v>
      </c>
      <c r="AG79" s="19" t="str">
        <f t="shared" si="148"/>
        <v>апрель</v>
      </c>
      <c r="AH79" s="19" t="str">
        <f t="shared" si="148"/>
        <v>май</v>
      </c>
      <c r="AI79" s="19" t="str">
        <f t="shared" si="148"/>
        <v>июнь</v>
      </c>
      <c r="AJ79" s="19" t="str">
        <f t="shared" si="148"/>
        <v>июль</v>
      </c>
      <c r="AK79" s="19" t="str">
        <f t="shared" si="148"/>
        <v>август</v>
      </c>
      <c r="AL79" s="19" t="str">
        <f t="shared" si="148"/>
        <v>сентябрь</v>
      </c>
      <c r="AM79" s="19" t="str">
        <f t="shared" si="148"/>
        <v>октябрь</v>
      </c>
      <c r="AN79" s="19" t="str">
        <f t="shared" si="148"/>
        <v>ноябрь</v>
      </c>
      <c r="AO79" s="19" t="str">
        <f t="shared" si="148"/>
        <v>декабрь</v>
      </c>
      <c r="AP79" s="19" t="str">
        <f t="shared" si="148"/>
        <v>январь</v>
      </c>
      <c r="AQ79" s="126"/>
      <c r="AR79" s="126"/>
      <c r="AS79" s="19"/>
    </row>
    <row r="80" spans="1:45" s="20" customFormat="1" ht="15" thickTop="1" x14ac:dyDescent="0.2">
      <c r="A80" s="47"/>
      <c r="B80" s="48"/>
      <c r="C80" s="47"/>
      <c r="D80" s="47"/>
      <c r="E80" s="47"/>
      <c r="F80" s="47"/>
      <c r="G80" s="47"/>
      <c r="H80" s="47"/>
      <c r="I80" s="49"/>
      <c r="O80" s="59"/>
      <c r="P80" s="59"/>
      <c r="Q80" s="47"/>
      <c r="R80" s="47"/>
      <c r="S80" s="47"/>
      <c r="T80" s="47"/>
      <c r="U80" s="47"/>
      <c r="V80" s="47"/>
      <c r="W80" s="49"/>
      <c r="AC80" s="59"/>
      <c r="AD80" s="59"/>
      <c r="AE80" s="47"/>
      <c r="AF80" s="47"/>
      <c r="AG80" s="47"/>
      <c r="AH80" s="47"/>
      <c r="AI80" s="47"/>
      <c r="AJ80" s="47"/>
      <c r="AK80" s="49"/>
      <c r="AQ80" s="59"/>
      <c r="AR80" s="59"/>
      <c r="AS80" s="50"/>
    </row>
    <row r="81" spans="1:45" s="52" customFormat="1" ht="11.25" x14ac:dyDescent="0.2">
      <c r="A81" s="51" t="s">
        <v>22</v>
      </c>
      <c r="B81" s="53"/>
      <c r="C81" s="153">
        <v>1</v>
      </c>
      <c r="D81" s="153">
        <v>1</v>
      </c>
      <c r="E81" s="153">
        <v>1</v>
      </c>
      <c r="F81" s="153">
        <v>1</v>
      </c>
      <c r="G81" s="153">
        <v>1</v>
      </c>
      <c r="H81" s="153">
        <v>1</v>
      </c>
      <c r="I81" s="153">
        <v>1</v>
      </c>
      <c r="J81" s="153">
        <v>1</v>
      </c>
      <c r="K81" s="153">
        <v>1</v>
      </c>
      <c r="L81" s="153">
        <v>1</v>
      </c>
      <c r="M81" s="153">
        <v>1</v>
      </c>
      <c r="N81" s="153">
        <v>1</v>
      </c>
      <c r="O81" s="127"/>
      <c r="P81" s="127"/>
      <c r="Q81" s="153">
        <v>1</v>
      </c>
      <c r="R81" s="153">
        <v>1</v>
      </c>
      <c r="S81" s="153">
        <v>1</v>
      </c>
      <c r="T81" s="153">
        <v>1</v>
      </c>
      <c r="U81" s="153">
        <v>1</v>
      </c>
      <c r="V81" s="153">
        <v>1</v>
      </c>
      <c r="W81" s="153">
        <v>1</v>
      </c>
      <c r="X81" s="153">
        <v>1</v>
      </c>
      <c r="Y81" s="153">
        <v>1</v>
      </c>
      <c r="Z81" s="153">
        <v>1</v>
      </c>
      <c r="AA81" s="153">
        <v>1</v>
      </c>
      <c r="AB81" s="153">
        <v>1</v>
      </c>
      <c r="AC81" s="127"/>
      <c r="AD81" s="127"/>
      <c r="AE81" s="153">
        <v>1</v>
      </c>
      <c r="AF81" s="153">
        <v>1</v>
      </c>
      <c r="AG81" s="153">
        <v>1</v>
      </c>
      <c r="AH81" s="153">
        <v>1</v>
      </c>
      <c r="AI81" s="153">
        <v>1</v>
      </c>
      <c r="AJ81" s="153">
        <v>1</v>
      </c>
      <c r="AK81" s="153">
        <v>1</v>
      </c>
      <c r="AL81" s="153">
        <v>1</v>
      </c>
      <c r="AM81" s="153">
        <v>1</v>
      </c>
      <c r="AN81" s="153">
        <v>1</v>
      </c>
      <c r="AO81" s="153">
        <v>1</v>
      </c>
      <c r="AP81" s="153">
        <v>1</v>
      </c>
      <c r="AQ81" s="127"/>
      <c r="AR81" s="127"/>
      <c r="AS81" s="54"/>
    </row>
    <row r="82" spans="1:45" s="20" customFormat="1" ht="11.25" x14ac:dyDescent="0.2">
      <c r="A82" s="156" t="str">
        <f>"Чистый денежный поток (NCF), "&amp;CHOOSE('Исходные данные'!$R$2,'Исходные данные'!$S$2,'Исходные данные'!$S$3,'Исходные данные'!$S$4,'Исходные данные'!$Q$42)&amp;""</f>
        <v>Чистый денежный поток (NCF), RUB</v>
      </c>
      <c r="B82" s="26"/>
      <c r="C82" s="37">
        <f t="shared" ref="C82:N82" si="149">B82+SUM(C73:C75)*C81</f>
        <v>-13145.45454545453</v>
      </c>
      <c r="D82" s="37">
        <f t="shared" si="149"/>
        <v>3158.6363636364113</v>
      </c>
      <c r="E82" s="37">
        <f t="shared" si="149"/>
        <v>255267.37034368078</v>
      </c>
      <c r="F82" s="37">
        <f t="shared" si="149"/>
        <v>399108.61073170742</v>
      </c>
      <c r="G82" s="37">
        <f t="shared" si="149"/>
        <v>486291.50700665201</v>
      </c>
      <c r="H82" s="37">
        <f t="shared" si="149"/>
        <v>494368.34514412429</v>
      </c>
      <c r="I82" s="37">
        <f t="shared" si="149"/>
        <v>500974.5369401332</v>
      </c>
      <c r="J82" s="37">
        <f t="shared" si="149"/>
        <v>600356.11232815986</v>
      </c>
      <c r="K82" s="37">
        <f t="shared" si="149"/>
        <v>624390.2032372508</v>
      </c>
      <c r="L82" s="37">
        <f t="shared" si="149"/>
        <v>612089.74869179633</v>
      </c>
      <c r="M82" s="37">
        <f t="shared" si="149"/>
        <v>587502.47596452362</v>
      </c>
      <c r="N82" s="37">
        <f t="shared" si="149"/>
        <v>562915.20323725091</v>
      </c>
      <c r="O82" s="56"/>
      <c r="P82" s="56"/>
      <c r="Q82" s="37">
        <f>N82+SUM(Q73:Q75)*Q81</f>
        <v>549769.74869179633</v>
      </c>
      <c r="R82" s="37">
        <f t="shared" ref="R82:AB82" si="150">Q82+SUM(R73:R75)*R81</f>
        <v>566073.83960088727</v>
      </c>
      <c r="S82" s="37">
        <f t="shared" si="150"/>
        <v>818182.57358093164</v>
      </c>
      <c r="T82" s="37">
        <f t="shared" si="150"/>
        <v>962023.81396895833</v>
      </c>
      <c r="U82" s="37">
        <f t="shared" si="150"/>
        <v>1049206.7102439029</v>
      </c>
      <c r="V82" s="37">
        <f t="shared" si="150"/>
        <v>1057283.5483813751</v>
      </c>
      <c r="W82" s="37">
        <f t="shared" si="150"/>
        <v>1063889.7401773841</v>
      </c>
      <c r="X82" s="37">
        <f t="shared" si="150"/>
        <v>1163271.3155654108</v>
      </c>
      <c r="Y82" s="37">
        <f t="shared" si="150"/>
        <v>1187305.4064745018</v>
      </c>
      <c r="Z82" s="37">
        <f t="shared" si="150"/>
        <v>1175004.9519290472</v>
      </c>
      <c r="AA82" s="37">
        <f t="shared" si="150"/>
        <v>1150417.6792017745</v>
      </c>
      <c r="AB82" s="37">
        <f t="shared" si="150"/>
        <v>1125830.4064745018</v>
      </c>
      <c r="AC82" s="56"/>
      <c r="AD82" s="56"/>
      <c r="AE82" s="37">
        <f>AB82+SUM(AE73:AE75)*AE81</f>
        <v>1112684.9519290472</v>
      </c>
      <c r="AF82" s="37">
        <f t="shared" ref="AF82:AP82" si="151">AE82+SUM(AF73:AF75)*AF81</f>
        <v>1128989.0428381381</v>
      </c>
      <c r="AG82" s="37">
        <f t="shared" si="151"/>
        <v>1381097.7768181823</v>
      </c>
      <c r="AH82" s="37">
        <f t="shared" si="151"/>
        <v>1524939.017206209</v>
      </c>
      <c r="AI82" s="37">
        <f t="shared" si="151"/>
        <v>1612121.9134811535</v>
      </c>
      <c r="AJ82" s="37">
        <f t="shared" si="151"/>
        <v>1620198.7516186258</v>
      </c>
      <c r="AK82" s="37">
        <f t="shared" si="151"/>
        <v>1626804.9434146348</v>
      </c>
      <c r="AL82" s="37">
        <f t="shared" si="151"/>
        <v>1726186.5188026614</v>
      </c>
      <c r="AM82" s="37">
        <f t="shared" si="151"/>
        <v>1750220.6097117523</v>
      </c>
      <c r="AN82" s="37">
        <f t="shared" si="151"/>
        <v>1737920.1551662977</v>
      </c>
      <c r="AO82" s="37">
        <f t="shared" si="151"/>
        <v>1713332.882439025</v>
      </c>
      <c r="AP82" s="37">
        <f t="shared" si="151"/>
        <v>1688745.6097117523</v>
      </c>
      <c r="AQ82" s="124"/>
      <c r="AR82" s="124"/>
      <c r="AS82" s="56"/>
    </row>
    <row r="83" spans="1:45" s="20" customFormat="1" ht="11.25" x14ac:dyDescent="0.2">
      <c r="A83" s="24"/>
      <c r="B83" s="57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124"/>
      <c r="P83" s="124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124"/>
      <c r="AD83" s="124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124"/>
      <c r="AR83" s="124"/>
      <c r="AS83" s="23"/>
    </row>
    <row r="84" spans="1:45" s="20" customFormat="1" ht="11.25" x14ac:dyDescent="0.2">
      <c r="A84" s="109" t="str">
        <f>"Чистая приведенная стоимость (NPV) на конец 3-го года, "&amp;CHOOSE('Исходные данные'!$R$2,'Исходные данные'!$S$2,'Исходные данные'!$S$3,'Исходные данные'!$S$4,'Исходные данные'!$S$5)&amp;""</f>
        <v>Чистая приведенная стоимость (NPV) на конец 3-го года, RUB</v>
      </c>
      <c r="B84" s="58">
        <f>AP82+AS74</f>
        <v>1567745.6097117523</v>
      </c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124"/>
      <c r="P84" s="124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124"/>
      <c r="AD84" s="124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124"/>
      <c r="AR84" s="124"/>
      <c r="AS84" s="23"/>
    </row>
    <row r="85" spans="1:45" s="20" customFormat="1" ht="11.25" x14ac:dyDescent="0.2">
      <c r="A85" s="109" t="s">
        <v>23</v>
      </c>
      <c r="B85" s="58">
        <f>AP82/AS40</f>
        <v>13.956575286873985</v>
      </c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124"/>
      <c r="P85" s="124"/>
      <c r="Q85" s="28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124"/>
      <c r="AD85" s="124"/>
      <c r="AE85" s="28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124"/>
      <c r="AR85" s="124"/>
      <c r="AS85" s="23"/>
    </row>
    <row r="86" spans="1:45" s="20" customFormat="1" ht="11.25" x14ac:dyDescent="0.2">
      <c r="A86" s="110" t="s">
        <v>62</v>
      </c>
      <c r="B86" s="111">
        <f>IF(AS91&lt;0,"проект не окупается",AS91)</f>
        <v>3</v>
      </c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124"/>
      <c r="P86" s="124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124"/>
      <c r="AD86" s="124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124"/>
      <c r="AR86" s="124"/>
      <c r="AS86" s="23"/>
    </row>
    <row r="87" spans="1:45" s="13" customFormat="1" ht="11.25" x14ac:dyDescent="0.2">
      <c r="A87" s="110" t="s">
        <v>47</v>
      </c>
      <c r="B87" s="111">
        <f>IF(AS92&lt;0,"проект не окупается",AS92)</f>
        <v>2</v>
      </c>
      <c r="C87" s="44"/>
      <c r="D87" s="44"/>
      <c r="E87" s="43"/>
      <c r="F87" s="43"/>
      <c r="G87" s="43"/>
      <c r="H87" s="44"/>
      <c r="I87" s="42"/>
      <c r="J87" s="42"/>
      <c r="K87" s="42"/>
      <c r="L87" s="42"/>
      <c r="M87" s="42"/>
      <c r="N87" s="42"/>
      <c r="O87" s="125"/>
      <c r="P87" s="125"/>
      <c r="Q87" s="44"/>
      <c r="R87" s="44"/>
      <c r="S87" s="43"/>
      <c r="T87" s="43"/>
      <c r="U87" s="43"/>
      <c r="V87" s="44"/>
      <c r="W87" s="42"/>
      <c r="X87" s="42"/>
      <c r="Y87" s="42"/>
      <c r="Z87" s="42"/>
      <c r="AA87" s="42"/>
      <c r="AB87" s="42"/>
      <c r="AC87" s="125"/>
      <c r="AD87" s="125"/>
      <c r="AE87" s="44"/>
      <c r="AF87" s="44"/>
      <c r="AG87" s="43"/>
      <c r="AH87" s="43"/>
      <c r="AI87" s="43"/>
      <c r="AJ87" s="44"/>
      <c r="AK87" s="42"/>
      <c r="AL87" s="42"/>
      <c r="AM87" s="42"/>
      <c r="AN87" s="42"/>
      <c r="AO87" s="42"/>
      <c r="AP87" s="42"/>
      <c r="AQ87" s="125"/>
      <c r="AR87" s="125"/>
      <c r="AS87" s="42"/>
    </row>
    <row r="88" spans="1:45" s="20" customFormat="1" ht="11.25" x14ac:dyDescent="0.2">
      <c r="B88" s="28"/>
      <c r="C88" s="55"/>
      <c r="E88" s="60"/>
      <c r="O88" s="59"/>
      <c r="P88" s="59"/>
      <c r="Q88" s="55"/>
      <c r="S88" s="60"/>
      <c r="AC88" s="59"/>
      <c r="AD88" s="59"/>
      <c r="AE88" s="55"/>
      <c r="AG88" s="60"/>
      <c r="AQ88" s="59"/>
      <c r="AR88" s="59"/>
    </row>
    <row r="89" spans="1:45" s="134" customFormat="1" ht="10.5" hidden="1" x14ac:dyDescent="0.4">
      <c r="B89" s="135" t="s">
        <v>36</v>
      </c>
      <c r="C89" s="135">
        <f t="shared" ref="C89:N89" si="152">IF(C68&gt;0,0,1)</f>
        <v>1</v>
      </c>
      <c r="D89" s="135">
        <f t="shared" si="152"/>
        <v>1</v>
      </c>
      <c r="E89" s="135">
        <f t="shared" si="152"/>
        <v>0</v>
      </c>
      <c r="F89" s="135">
        <f t="shared" si="152"/>
        <v>0</v>
      </c>
      <c r="G89" s="135">
        <f t="shared" si="152"/>
        <v>0</v>
      </c>
      <c r="H89" s="135">
        <f t="shared" si="152"/>
        <v>0</v>
      </c>
      <c r="I89" s="135">
        <f t="shared" si="152"/>
        <v>0</v>
      </c>
      <c r="J89" s="135">
        <f t="shared" si="152"/>
        <v>0</v>
      </c>
      <c r="K89" s="135">
        <f t="shared" si="152"/>
        <v>0</v>
      </c>
      <c r="L89" s="135">
        <f t="shared" si="152"/>
        <v>0</v>
      </c>
      <c r="M89" s="135">
        <f t="shared" si="152"/>
        <v>0</v>
      </c>
      <c r="N89" s="135">
        <f t="shared" si="152"/>
        <v>0</v>
      </c>
      <c r="O89" s="136"/>
      <c r="P89" s="136"/>
      <c r="Q89" s="135">
        <f t="shared" ref="Q89:AB89" si="153">IF(Q68&gt;0,0,1)</f>
        <v>0</v>
      </c>
      <c r="R89" s="135">
        <f t="shared" si="153"/>
        <v>0</v>
      </c>
      <c r="S89" s="135">
        <f t="shared" si="153"/>
        <v>0</v>
      </c>
      <c r="T89" s="135">
        <f t="shared" si="153"/>
        <v>0</v>
      </c>
      <c r="U89" s="135">
        <f t="shared" si="153"/>
        <v>0</v>
      </c>
      <c r="V89" s="135">
        <f t="shared" si="153"/>
        <v>0</v>
      </c>
      <c r="W89" s="135">
        <f t="shared" si="153"/>
        <v>0</v>
      </c>
      <c r="X89" s="135">
        <f t="shared" si="153"/>
        <v>0</v>
      </c>
      <c r="Y89" s="135">
        <f t="shared" si="153"/>
        <v>0</v>
      </c>
      <c r="Z89" s="135">
        <f t="shared" si="153"/>
        <v>0</v>
      </c>
      <c r="AA89" s="135">
        <f t="shared" si="153"/>
        <v>0</v>
      </c>
      <c r="AB89" s="135">
        <f t="shared" si="153"/>
        <v>0</v>
      </c>
      <c r="AC89" s="136"/>
      <c r="AD89" s="136"/>
      <c r="AE89" s="135">
        <f t="shared" ref="AE89:AP89" si="154">IF(AE68&gt;0,0,1)</f>
        <v>0</v>
      </c>
      <c r="AF89" s="135">
        <f t="shared" si="154"/>
        <v>0</v>
      </c>
      <c r="AG89" s="135">
        <f t="shared" si="154"/>
        <v>0</v>
      </c>
      <c r="AH89" s="135">
        <f t="shared" si="154"/>
        <v>0</v>
      </c>
      <c r="AI89" s="135">
        <f t="shared" si="154"/>
        <v>0</v>
      </c>
      <c r="AJ89" s="135">
        <f t="shared" si="154"/>
        <v>0</v>
      </c>
      <c r="AK89" s="135">
        <f t="shared" si="154"/>
        <v>0</v>
      </c>
      <c r="AL89" s="135">
        <f t="shared" si="154"/>
        <v>0</v>
      </c>
      <c r="AM89" s="135">
        <f t="shared" si="154"/>
        <v>0</v>
      </c>
      <c r="AN89" s="135">
        <f t="shared" si="154"/>
        <v>0</v>
      </c>
      <c r="AO89" s="135">
        <f t="shared" si="154"/>
        <v>0</v>
      </c>
      <c r="AP89" s="135">
        <f t="shared" si="154"/>
        <v>0</v>
      </c>
      <c r="AQ89" s="136"/>
      <c r="AR89" s="136"/>
      <c r="AS89" s="134">
        <f>SUM(C89:AP89)</f>
        <v>2</v>
      </c>
    </row>
    <row r="90" spans="1:45" s="135" customFormat="1" ht="10.15" hidden="1" x14ac:dyDescent="0.35">
      <c r="B90" s="135" t="s">
        <v>46</v>
      </c>
      <c r="C90" s="135">
        <f>IF(C67&gt;0,0,1)</f>
        <v>1</v>
      </c>
      <c r="D90" s="135">
        <f>IF(C90=0,0,IF(D67+C67&gt;0,0,1))</f>
        <v>0</v>
      </c>
      <c r="E90" s="135">
        <f t="shared" ref="E90:N90" si="155">IF(D90=0,0,IF(E67+D67&gt;0,0,1))</f>
        <v>0</v>
      </c>
      <c r="F90" s="135">
        <f t="shared" si="155"/>
        <v>0</v>
      </c>
      <c r="G90" s="135">
        <f t="shared" si="155"/>
        <v>0</v>
      </c>
      <c r="H90" s="135">
        <f t="shared" si="155"/>
        <v>0</v>
      </c>
      <c r="I90" s="135">
        <f t="shared" si="155"/>
        <v>0</v>
      </c>
      <c r="J90" s="135">
        <f t="shared" si="155"/>
        <v>0</v>
      </c>
      <c r="K90" s="135">
        <f t="shared" si="155"/>
        <v>0</v>
      </c>
      <c r="L90" s="135">
        <f t="shared" si="155"/>
        <v>0</v>
      </c>
      <c r="M90" s="135">
        <f t="shared" si="155"/>
        <v>0</v>
      </c>
      <c r="N90" s="135">
        <f t="shared" si="155"/>
        <v>0</v>
      </c>
      <c r="Q90" s="135">
        <f>IF(N90=0,0,IF(Q67+P67&gt;0,0,1))</f>
        <v>0</v>
      </c>
      <c r="R90" s="135">
        <f t="shared" ref="R90:AB90" si="156">IF(Q90=0,0,IF(R67+Q67&gt;0,0,1))</f>
        <v>0</v>
      </c>
      <c r="S90" s="135">
        <f t="shared" si="156"/>
        <v>0</v>
      </c>
      <c r="T90" s="135">
        <f t="shared" si="156"/>
        <v>0</v>
      </c>
      <c r="U90" s="135">
        <f t="shared" si="156"/>
        <v>0</v>
      </c>
      <c r="V90" s="135">
        <f t="shared" si="156"/>
        <v>0</v>
      </c>
      <c r="W90" s="135">
        <f t="shared" si="156"/>
        <v>0</v>
      </c>
      <c r="X90" s="135">
        <f t="shared" si="156"/>
        <v>0</v>
      </c>
      <c r="Y90" s="135">
        <f t="shared" si="156"/>
        <v>0</v>
      </c>
      <c r="Z90" s="135">
        <f t="shared" si="156"/>
        <v>0</v>
      </c>
      <c r="AA90" s="135">
        <f t="shared" si="156"/>
        <v>0</v>
      </c>
      <c r="AB90" s="135">
        <f t="shared" si="156"/>
        <v>0</v>
      </c>
      <c r="AE90" s="135">
        <f>IF(AB90=0,0,IF(AE67+AD67&gt;0,0,1))</f>
        <v>0</v>
      </c>
      <c r="AF90" s="135">
        <f t="shared" ref="AF90:AP90" si="157">IF(AE90=0,0,IF(AF67+AE67&gt;0,0,1))</f>
        <v>0</v>
      </c>
      <c r="AG90" s="135">
        <f t="shared" si="157"/>
        <v>0</v>
      </c>
      <c r="AH90" s="135">
        <f t="shared" si="157"/>
        <v>0</v>
      </c>
      <c r="AI90" s="135">
        <f t="shared" si="157"/>
        <v>0</v>
      </c>
      <c r="AJ90" s="135">
        <f t="shared" si="157"/>
        <v>0</v>
      </c>
      <c r="AK90" s="135">
        <f t="shared" si="157"/>
        <v>0</v>
      </c>
      <c r="AL90" s="135">
        <f t="shared" si="157"/>
        <v>0</v>
      </c>
      <c r="AM90" s="135">
        <f t="shared" si="157"/>
        <v>0</v>
      </c>
      <c r="AN90" s="135">
        <f t="shared" si="157"/>
        <v>0</v>
      </c>
      <c r="AO90" s="135">
        <f t="shared" si="157"/>
        <v>0</v>
      </c>
      <c r="AP90" s="135">
        <f t="shared" si="157"/>
        <v>0</v>
      </c>
      <c r="AS90" s="134">
        <f>SUM(C90:AP90)</f>
        <v>1</v>
      </c>
    </row>
    <row r="91" spans="1:45" s="20" customFormat="1" ht="10.5" hidden="1" x14ac:dyDescent="0.4">
      <c r="O91" s="59"/>
      <c r="P91" s="59"/>
      <c r="AC91" s="59"/>
      <c r="AD91" s="59"/>
      <c r="AQ91" s="59"/>
      <c r="AR91" s="59"/>
      <c r="AS91" s="20">
        <f>IF(AS89&lt;36,AS89+1,-AS66/AR67+37)</f>
        <v>3</v>
      </c>
    </row>
    <row r="92" spans="1:45" s="62" customFormat="1" ht="14.1" hidden="1" x14ac:dyDescent="0.5">
      <c r="A92" s="20"/>
      <c r="B92" s="61"/>
      <c r="O92" s="128"/>
      <c r="P92" s="128"/>
      <c r="AC92" s="128"/>
      <c r="AD92" s="128"/>
      <c r="AQ92" s="128"/>
      <c r="AR92" s="128"/>
      <c r="AS92" s="62">
        <f>IF(AS90&lt;36,AS90+1,-AS66/AR67+37)</f>
        <v>2</v>
      </c>
    </row>
    <row r="93" spans="1:45" s="62" customFormat="1" ht="15" x14ac:dyDescent="0.25">
      <c r="A93" s="20"/>
      <c r="B93" s="61"/>
      <c r="O93" s="128"/>
      <c r="P93" s="128"/>
      <c r="AC93" s="128"/>
      <c r="AD93" s="128"/>
      <c r="AQ93" s="128"/>
      <c r="AR93" s="128"/>
    </row>
    <row r="94" spans="1:45" s="62" customFormat="1" ht="15" x14ac:dyDescent="0.25">
      <c r="A94" s="20"/>
      <c r="B94" s="61"/>
      <c r="O94" s="128"/>
      <c r="P94" s="128"/>
      <c r="AC94" s="128"/>
      <c r="AD94" s="128"/>
      <c r="AQ94" s="128"/>
      <c r="AR94" s="128"/>
    </row>
    <row r="95" spans="1:45" s="62" customFormat="1" ht="15" x14ac:dyDescent="0.25">
      <c r="A95" s="20"/>
      <c r="B95" s="61"/>
      <c r="O95" s="128"/>
      <c r="P95" s="128"/>
      <c r="AC95" s="128"/>
      <c r="AD95" s="128"/>
      <c r="AQ95" s="128"/>
      <c r="AR95" s="128"/>
    </row>
    <row r="96" spans="1:45" s="62" customFormat="1" ht="15" x14ac:dyDescent="0.25">
      <c r="A96" s="20"/>
      <c r="B96" s="61"/>
      <c r="O96" s="128"/>
      <c r="P96" s="128"/>
      <c r="AC96" s="128"/>
      <c r="AD96" s="128"/>
      <c r="AQ96" s="128"/>
      <c r="AR96" s="128"/>
    </row>
    <row r="97" spans="1:44" s="62" customFormat="1" ht="15" x14ac:dyDescent="0.25">
      <c r="A97" s="20"/>
      <c r="B97" s="61"/>
      <c r="O97" s="128"/>
      <c r="P97" s="128"/>
      <c r="AC97" s="128"/>
      <c r="AD97" s="128"/>
      <c r="AQ97" s="128"/>
      <c r="AR97" s="128"/>
    </row>
    <row r="98" spans="1:44" s="62" customFormat="1" ht="15" x14ac:dyDescent="0.25">
      <c r="A98" s="20"/>
      <c r="B98" s="61"/>
      <c r="O98" s="128"/>
      <c r="P98" s="128"/>
      <c r="AC98" s="128"/>
      <c r="AD98" s="128"/>
      <c r="AQ98" s="128"/>
      <c r="AR98" s="128"/>
    </row>
    <row r="99" spans="1:44" s="62" customFormat="1" ht="15" x14ac:dyDescent="0.25">
      <c r="A99" s="20"/>
      <c r="B99" s="61"/>
      <c r="O99" s="128"/>
      <c r="P99" s="128"/>
      <c r="AC99" s="128"/>
      <c r="AD99" s="128"/>
      <c r="AQ99" s="128"/>
      <c r="AR99" s="128"/>
    </row>
    <row r="100" spans="1:44" s="62" customFormat="1" ht="15" x14ac:dyDescent="0.25">
      <c r="A100" s="20"/>
      <c r="B100" s="61"/>
      <c r="O100" s="128"/>
      <c r="P100" s="128"/>
      <c r="AC100" s="128"/>
      <c r="AD100" s="128"/>
      <c r="AQ100" s="128"/>
      <c r="AR100" s="128"/>
    </row>
    <row r="101" spans="1:44" s="62" customFormat="1" ht="15" x14ac:dyDescent="0.25">
      <c r="A101" s="20"/>
      <c r="B101" s="61"/>
      <c r="O101" s="128"/>
      <c r="P101" s="128"/>
      <c r="AC101" s="128"/>
      <c r="AD101" s="128"/>
      <c r="AQ101" s="128"/>
      <c r="AR101" s="128"/>
    </row>
    <row r="102" spans="1:44" s="62" customFormat="1" ht="15" x14ac:dyDescent="0.25">
      <c r="A102" s="20"/>
      <c r="B102" s="61"/>
      <c r="O102" s="128"/>
      <c r="P102" s="128"/>
      <c r="AC102" s="128"/>
      <c r="AD102" s="128"/>
      <c r="AQ102" s="128"/>
      <c r="AR102" s="128"/>
    </row>
    <row r="103" spans="1:44" s="62" customFormat="1" ht="15" x14ac:dyDescent="0.25">
      <c r="A103" s="20"/>
      <c r="B103" s="61"/>
      <c r="O103" s="128"/>
      <c r="P103" s="128"/>
      <c r="AC103" s="128"/>
      <c r="AD103" s="128"/>
      <c r="AQ103" s="128"/>
      <c r="AR103" s="128"/>
    </row>
    <row r="104" spans="1:44" s="62" customFormat="1" ht="15" x14ac:dyDescent="0.25">
      <c r="A104" s="20"/>
      <c r="B104" s="61"/>
      <c r="O104" s="128"/>
      <c r="P104" s="128"/>
      <c r="AC104" s="128"/>
      <c r="AD104" s="128"/>
      <c r="AQ104" s="128"/>
      <c r="AR104" s="128"/>
    </row>
    <row r="105" spans="1:44" s="62" customFormat="1" ht="15" x14ac:dyDescent="0.25">
      <c r="A105" s="20"/>
      <c r="B105" s="61"/>
      <c r="O105" s="128"/>
      <c r="P105" s="128"/>
      <c r="AC105" s="128"/>
      <c r="AD105" s="128"/>
      <c r="AQ105" s="128"/>
      <c r="AR105" s="128"/>
    </row>
  </sheetData>
  <mergeCells count="8">
    <mergeCell ref="A1:B1"/>
    <mergeCell ref="AS12:AS13"/>
    <mergeCell ref="C5:P5"/>
    <mergeCell ref="C12:P12"/>
    <mergeCell ref="Q5:AD5"/>
    <mergeCell ref="Q12:AD12"/>
    <mergeCell ref="AE5:AR5"/>
    <mergeCell ref="AE12:AR12"/>
  </mergeCells>
  <conditionalFormatting sqref="C9:N10">
    <cfRule type="cellIs" dxfId="14" priority="49" operator="lessThan">
      <formula>1</formula>
    </cfRule>
    <cfRule type="cellIs" dxfId="13" priority="50" operator="greaterThan">
      <formula>1</formula>
    </cfRule>
  </conditionalFormatting>
  <conditionalFormatting sqref="C7:N8">
    <cfRule type="cellIs" dxfId="12" priority="60" operator="lessThan">
      <formula>1</formula>
    </cfRule>
    <cfRule type="cellIs" dxfId="11" priority="61" operator="greaterThan">
      <formula>1</formula>
    </cfRule>
  </conditionalFormatting>
  <conditionalFormatting sqref="C9:N9">
    <cfRule type="cellIs" dxfId="10" priority="51" operator="lessThan">
      <formula>1</formula>
    </cfRule>
  </conditionalFormatting>
  <conditionalFormatting sqref="Q9:AB10">
    <cfRule type="cellIs" dxfId="9" priority="6" operator="lessThan">
      <formula>1</formula>
    </cfRule>
    <cfRule type="cellIs" dxfId="8" priority="7" operator="greaterThan">
      <formula>1</formula>
    </cfRule>
  </conditionalFormatting>
  <conditionalFormatting sqref="Q7:AB8">
    <cfRule type="cellIs" dxfId="7" priority="9" operator="lessThan">
      <formula>1</formula>
    </cfRule>
    <cfRule type="cellIs" dxfId="6" priority="10" operator="greaterThan">
      <formula>1</formula>
    </cfRule>
  </conditionalFormatting>
  <conditionalFormatting sqref="Q9:AB9">
    <cfRule type="cellIs" dxfId="5" priority="8" operator="lessThan">
      <formula>1</formula>
    </cfRule>
  </conditionalFormatting>
  <conditionalFormatting sqref="AE9:AP10">
    <cfRule type="cellIs" dxfId="4" priority="1" operator="lessThan">
      <formula>1</formula>
    </cfRule>
    <cfRule type="cellIs" dxfId="3" priority="2" operator="greaterThan">
      <formula>1</formula>
    </cfRule>
  </conditionalFormatting>
  <conditionalFormatting sqref="AE7:AP8">
    <cfRule type="cellIs" dxfId="2" priority="4" operator="lessThan">
      <formula>1</formula>
    </cfRule>
    <cfRule type="cellIs" dxfId="1" priority="5" operator="greaterThan">
      <formula>1</formula>
    </cfRule>
  </conditionalFormatting>
  <conditionalFormatting sqref="AE9:AP9">
    <cfRule type="cellIs" dxfId="0" priority="3" operator="less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5" fitToHeight="2" orientation="landscape" horizontalDpi="300" verticalDpi="300" r:id="rId1"/>
  <headerFooter alignWithMargins="0"/>
  <colBreaks count="2" manualBreakCount="2">
    <brk id="16" min="4" max="109" man="1"/>
    <brk id="30" min="4" max="1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Франчайзинговые пакеты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'Франчайзинговые пакеты'!Область_печати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пк</cp:lastModifiedBy>
  <cp:lastPrinted>2017-12-28T08:26:22Z</cp:lastPrinted>
  <dcterms:created xsi:type="dcterms:W3CDTF">2013-12-25T12:04:54Z</dcterms:created>
  <dcterms:modified xsi:type="dcterms:W3CDTF">2018-01-08T11:01:47Z</dcterms:modified>
</cp:coreProperties>
</file>