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Экономбуд\"/>
    </mc:Choice>
  </mc:AlternateContent>
  <bookViews>
    <workbookView xWindow="0" yWindow="0" windowWidth="28800" windowHeight="13638" activeTab="2" xr2:uid="{00000000-000D-0000-FFFF-FFFF00000000}"/>
  </bookViews>
  <sheets>
    <sheet name="Исходные данные" sheetId="6" r:id="rId1"/>
    <sheet name="Инвестиции в оборудование" sheetId="9" r:id="rId2"/>
    <sheet name="Обобщенный расчет" sheetId="7" r:id="rId3"/>
    <sheet name="Детальный расчет" sheetId="4" r:id="rId4"/>
  </sheets>
  <externalReferences>
    <externalReference r:id="rId5"/>
    <externalReference r:id="rId6"/>
    <externalReference r:id="rId7"/>
  </externalReferences>
  <definedNames>
    <definedName name="About_AI" localSheetId="1">#REF!</definedName>
    <definedName name="About_AI" localSheetId="0">#REF!</definedName>
    <definedName name="About_AI" localSheetId="2">#REF!</definedName>
    <definedName name="About_AI">#REF!</definedName>
    <definedName name="About_AI_Summ" localSheetId="0">#REF!</definedName>
    <definedName name="About_AI_Summ" localSheetId="2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2">[1]Проект!#REF!</definedName>
    <definedName name="EST_DATA">[1]Проект!#REF!</definedName>
    <definedName name="EST_FROM" localSheetId="0">[1]Проект!#REF!</definedName>
    <definedName name="EST_FROM" localSheetId="2">[1]Проект!#REF!</definedName>
    <definedName name="EST_FROM">[1]Проект!#REF!</definedName>
    <definedName name="EST_NumStages" localSheetId="0">[1]Проект!#REF!</definedName>
    <definedName name="EST_NumStages" localSheetId="2">[1]Проект!#REF!</definedName>
    <definedName name="EST_NumStages">[1]Проект!#REF!</definedName>
    <definedName name="EST_Obj_1" localSheetId="0">[1]Проект!#REF!</definedName>
    <definedName name="EST_Obj_1" localSheetId="2">[1]Проект!#REF!</definedName>
    <definedName name="EST_Obj_1">[1]Проект!#REF!</definedName>
    <definedName name="EST_Obj_10" localSheetId="0">[1]Проект!#REF!</definedName>
    <definedName name="EST_Obj_10" localSheetId="2">[1]Проект!#REF!</definedName>
    <definedName name="EST_Obj_10">[1]Проект!#REF!</definedName>
    <definedName name="EST_Obj_2" localSheetId="0">[1]Проект!#REF!</definedName>
    <definedName name="EST_Obj_2" localSheetId="2">[1]Проект!#REF!</definedName>
    <definedName name="EST_Obj_2">[1]Проект!#REF!</definedName>
    <definedName name="EST_Obj_3" localSheetId="0">[1]Проект!#REF!</definedName>
    <definedName name="EST_Obj_3" localSheetId="2">[1]Проект!#REF!</definedName>
    <definedName name="EST_Obj_3">[1]Проект!#REF!</definedName>
    <definedName name="EST_Obj_4" localSheetId="0">[1]Проект!#REF!</definedName>
    <definedName name="EST_Obj_4" localSheetId="2">[1]Проект!#REF!</definedName>
    <definedName name="EST_Obj_4">[1]Проект!#REF!</definedName>
    <definedName name="EST_Obj_5" localSheetId="0">[1]Проект!#REF!</definedName>
    <definedName name="EST_Obj_5" localSheetId="2">[1]Проект!#REF!</definedName>
    <definedName name="EST_Obj_5">[1]Проект!#REF!</definedName>
    <definedName name="EST_Obj_6" localSheetId="0">[1]Проект!#REF!</definedName>
    <definedName name="EST_Obj_6" localSheetId="2">[1]Проект!#REF!</definedName>
    <definedName name="EST_Obj_6">[1]Проект!#REF!</definedName>
    <definedName name="EST_Obj_7" localSheetId="0">[1]Проект!#REF!</definedName>
    <definedName name="EST_Obj_7" localSheetId="2">[1]Проект!#REF!</definedName>
    <definedName name="EST_Obj_7">[1]Проект!#REF!</definedName>
    <definedName name="EST_Obj_8" localSheetId="0">[1]Проект!#REF!</definedName>
    <definedName name="EST_Obj_8" localSheetId="2">[1]Проект!#REF!</definedName>
    <definedName name="EST_Obj_8">[1]Проект!#REF!</definedName>
    <definedName name="EST_Obj_9" localSheetId="0">[1]Проект!#REF!</definedName>
    <definedName name="EST_Obj_9" localSheetId="2">[1]Проект!#REF!</definedName>
    <definedName name="EST_Obj_9">[1]Проект!#REF!</definedName>
    <definedName name="EST_ProdNum" localSheetId="0">[1]Проект!#REF!</definedName>
    <definedName name="EST_ProdNum" localSheetId="2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2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2">[3]Отчет!#REF!</definedName>
    <definedName name="апи">[3]Отчет!#REF!</definedName>
    <definedName name="_xlnm.Print_Titles" localSheetId="3">'Детальный расчет'!$A:$B</definedName>
    <definedName name="и" localSheetId="0">[3]Отчет!#REF!</definedName>
    <definedName name="и" localSheetId="2">[3]Отчет!#REF!</definedName>
    <definedName name="и">[3]Отчет!#REF!</definedName>
    <definedName name="_xlnm.Print_Area" localSheetId="3">'Детальный расчет'!$A$5:$AS$93</definedName>
    <definedName name="_xlnm.Print_Area" localSheetId="1">'Инвестиции в оборудование'!$A$2:$J$13</definedName>
    <definedName name="_xlnm.Print_Area" localSheetId="0">'Исходные данные'!$A$2:$K$68</definedName>
    <definedName name="_xlnm.Print_Area" localSheetId="2">'Обобщенный расчет'!$A$1:$J$67</definedName>
    <definedName name="п" localSheetId="1">[3]Отчет!#REF!</definedName>
    <definedName name="п" localSheetId="0">[3]Отчет!#REF!</definedName>
    <definedName name="п" localSheetId="2">[3]Отчет!#REF!</definedName>
    <definedName name="п">[3]Отчет!#REF!</definedName>
  </definedNames>
  <calcPr calcId="171027"/>
</workbook>
</file>

<file path=xl/calcChain.xml><?xml version="1.0" encoding="utf-8"?>
<calcChain xmlns="http://schemas.openxmlformats.org/spreadsheetml/2006/main">
  <c r="B91" i="4" l="1"/>
  <c r="B90" i="4"/>
  <c r="A88" i="4"/>
  <c r="A87" i="4"/>
  <c r="A86" i="4"/>
  <c r="A85" i="4"/>
  <c r="B77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B83" i="4"/>
  <c r="AA83" i="4"/>
  <c r="Z83" i="4"/>
  <c r="Y83" i="4"/>
  <c r="X83" i="4"/>
  <c r="W83" i="4"/>
  <c r="V83" i="4"/>
  <c r="U83" i="4"/>
  <c r="T83" i="4"/>
  <c r="S83" i="4"/>
  <c r="R83" i="4"/>
  <c r="Q83" i="4"/>
  <c r="D83" i="4"/>
  <c r="E83" i="4"/>
  <c r="F83" i="4"/>
  <c r="G83" i="4"/>
  <c r="H83" i="4"/>
  <c r="I83" i="4"/>
  <c r="J83" i="4"/>
  <c r="K83" i="4"/>
  <c r="L83" i="4"/>
  <c r="M83" i="4"/>
  <c r="N83" i="4"/>
  <c r="C83" i="4"/>
  <c r="C14" i="6" l="1"/>
  <c r="C13" i="6"/>
  <c r="AQ28" i="4" l="1"/>
  <c r="AC28" i="4"/>
  <c r="B28" i="4"/>
  <c r="A28" i="4"/>
  <c r="D18" i="7"/>
  <c r="G18" i="7" s="1"/>
  <c r="C28" i="4" s="1"/>
  <c r="O28" i="4" s="1"/>
  <c r="H22" i="6"/>
  <c r="D22" i="6"/>
  <c r="I7" i="9"/>
  <c r="I8" i="9"/>
  <c r="I9" i="9"/>
  <c r="I13" i="9" s="1"/>
  <c r="I10" i="9"/>
  <c r="I11" i="9"/>
  <c r="I12" i="9"/>
  <c r="I6" i="9"/>
  <c r="D7" i="9"/>
  <c r="J7" i="9" s="1"/>
  <c r="D8" i="9"/>
  <c r="J8" i="9" s="1"/>
  <c r="D9" i="9"/>
  <c r="J9" i="9" s="1"/>
  <c r="D10" i="9"/>
  <c r="G10" i="9" s="1"/>
  <c r="D11" i="9"/>
  <c r="J11" i="9" s="1"/>
  <c r="D12" i="9"/>
  <c r="J12" i="9" s="1"/>
  <c r="D6" i="9"/>
  <c r="G6" i="9" s="1"/>
  <c r="H3" i="9"/>
  <c r="E3" i="9"/>
  <c r="F12" i="9"/>
  <c r="G12" i="9"/>
  <c r="F11" i="9"/>
  <c r="F10" i="9"/>
  <c r="F9" i="9"/>
  <c r="F13" i="9" s="1"/>
  <c r="F8" i="9"/>
  <c r="G8" i="9"/>
  <c r="F7" i="9"/>
  <c r="F6" i="9"/>
  <c r="AS28" i="4" l="1"/>
  <c r="J6" i="9"/>
  <c r="J13" i="9"/>
  <c r="G9" i="9"/>
  <c r="G11" i="9"/>
  <c r="J10" i="9"/>
  <c r="G7" i="9"/>
  <c r="J22" i="6"/>
  <c r="F22" i="6"/>
  <c r="G13" i="9" l="1"/>
  <c r="O58" i="4"/>
  <c r="P58" i="4" s="1"/>
  <c r="B58" i="4"/>
  <c r="D41" i="7"/>
  <c r="D53" i="7"/>
  <c r="AC34" i="4"/>
  <c r="AQ34" i="4"/>
  <c r="B34" i="4"/>
  <c r="AC30" i="4"/>
  <c r="AQ30" i="4"/>
  <c r="B30" i="4"/>
  <c r="AC29" i="4"/>
  <c r="AQ29" i="4"/>
  <c r="B29" i="4"/>
  <c r="H64" i="6"/>
  <c r="H63" i="6"/>
  <c r="H62" i="6"/>
  <c r="H61" i="6"/>
  <c r="H60" i="6"/>
  <c r="H59" i="6"/>
  <c r="H58" i="6"/>
  <c r="H57" i="6"/>
  <c r="H56" i="6"/>
  <c r="G54" i="7"/>
  <c r="I54" i="7" s="1"/>
  <c r="G44" i="7"/>
  <c r="G45" i="7"/>
  <c r="I45" i="7" s="1"/>
  <c r="AM49" i="4" s="1"/>
  <c r="G46" i="7"/>
  <c r="I46" i="7" s="1"/>
  <c r="G50" i="4" s="1"/>
  <c r="G47" i="7"/>
  <c r="G48" i="7"/>
  <c r="I48" i="7" s="1"/>
  <c r="G49" i="7"/>
  <c r="I49" i="7" s="1"/>
  <c r="F53" i="4" s="1"/>
  <c r="G51" i="7"/>
  <c r="I51" i="7" s="1"/>
  <c r="I55" i="4" s="1"/>
  <c r="G52" i="7"/>
  <c r="I52" i="7" s="1"/>
  <c r="AO56" i="4" s="1"/>
  <c r="G43" i="7"/>
  <c r="I43" i="7" s="1"/>
  <c r="J34" i="7"/>
  <c r="J35" i="7"/>
  <c r="J36" i="7"/>
  <c r="J33" i="7"/>
  <c r="H34" i="7"/>
  <c r="H35" i="7"/>
  <c r="H36" i="7"/>
  <c r="H33" i="7"/>
  <c r="E47" i="6"/>
  <c r="E34" i="7"/>
  <c r="F34" i="7" s="1"/>
  <c r="E35" i="7"/>
  <c r="F35" i="7" s="1"/>
  <c r="E36" i="7"/>
  <c r="F36" i="7" s="1"/>
  <c r="E33" i="7"/>
  <c r="F33" i="7" s="1"/>
  <c r="D34" i="7"/>
  <c r="D35" i="7"/>
  <c r="D36" i="7"/>
  <c r="D33" i="7"/>
  <c r="A34" i="7"/>
  <c r="A35" i="7"/>
  <c r="A36" i="7"/>
  <c r="A33" i="7"/>
  <c r="H21" i="6"/>
  <c r="D17" i="7"/>
  <c r="G17" i="7" s="1"/>
  <c r="C27" i="4" s="1"/>
  <c r="O27" i="4" s="1"/>
  <c r="H23" i="6"/>
  <c r="D19" i="7"/>
  <c r="G19" i="7" s="1"/>
  <c r="C29" i="4" s="1"/>
  <c r="O29" i="4" s="1"/>
  <c r="H24" i="6"/>
  <c r="D20" i="7"/>
  <c r="G20" i="7" s="1"/>
  <c r="C30" i="4" s="1"/>
  <c r="O30" i="4" s="1"/>
  <c r="AS30" i="4" s="1"/>
  <c r="D21" i="7"/>
  <c r="H26" i="6"/>
  <c r="D22" i="7"/>
  <c r="G22" i="7" s="1"/>
  <c r="C32" i="4" s="1"/>
  <c r="O32" i="4" s="1"/>
  <c r="D23" i="7"/>
  <c r="G23" i="7" s="1"/>
  <c r="C33" i="4" s="1"/>
  <c r="H28" i="6"/>
  <c r="D24" i="7"/>
  <c r="G24" i="7" s="1"/>
  <c r="C34" i="4" s="1"/>
  <c r="H29" i="6"/>
  <c r="D25" i="7"/>
  <c r="G25" i="7" s="1"/>
  <c r="C35" i="4" s="1"/>
  <c r="O35" i="4" s="1"/>
  <c r="D26" i="7"/>
  <c r="G26" i="7" s="1"/>
  <c r="C36" i="4" s="1"/>
  <c r="O36" i="4" s="1"/>
  <c r="D27" i="7"/>
  <c r="G27" i="7" s="1"/>
  <c r="A29" i="7"/>
  <c r="B24" i="7"/>
  <c r="A34" i="4" s="1"/>
  <c r="A58" i="4" s="1"/>
  <c r="D16" i="7"/>
  <c r="G16" i="7" s="1"/>
  <c r="B20" i="7"/>
  <c r="A30" i="4" s="1"/>
  <c r="B19" i="7"/>
  <c r="A29" i="4" s="1"/>
  <c r="D10" i="7"/>
  <c r="G10" i="7" s="1"/>
  <c r="H10" i="7" s="1"/>
  <c r="F15" i="6"/>
  <c r="D11" i="7"/>
  <c r="D9" i="7"/>
  <c r="D64" i="6"/>
  <c r="D63" i="6"/>
  <c r="D62" i="6"/>
  <c r="D59" i="6"/>
  <c r="D61" i="6"/>
  <c r="D60" i="6"/>
  <c r="D58" i="6"/>
  <c r="D57" i="6"/>
  <c r="D56" i="6"/>
  <c r="E39" i="6"/>
  <c r="D29" i="6"/>
  <c r="D26" i="6"/>
  <c r="D28" i="6"/>
  <c r="J28" i="6"/>
  <c r="F28" i="6"/>
  <c r="J24" i="6"/>
  <c r="D24" i="6"/>
  <c r="F24" i="6"/>
  <c r="J23" i="6"/>
  <c r="D23" i="6"/>
  <c r="F23" i="6"/>
  <c r="D21" i="6"/>
  <c r="C15" i="6"/>
  <c r="G15" i="6"/>
  <c r="D14" i="6"/>
  <c r="D15" i="6"/>
  <c r="D13" i="6"/>
  <c r="F11" i="6"/>
  <c r="K11" i="6" s="1"/>
  <c r="C11" i="6"/>
  <c r="I11" i="6"/>
  <c r="P3" i="6"/>
  <c r="G12" i="6"/>
  <c r="D12" i="6"/>
  <c r="I47" i="7"/>
  <c r="K51" i="4" s="1"/>
  <c r="I44" i="7"/>
  <c r="AN48" i="4" s="1"/>
  <c r="B56" i="4"/>
  <c r="A56" i="4"/>
  <c r="A46" i="4"/>
  <c r="A45" i="4"/>
  <c r="G21" i="7"/>
  <c r="C31" i="4" s="1"/>
  <c r="O31" i="4" s="1"/>
  <c r="A36" i="4"/>
  <c r="A35" i="4"/>
  <c r="B23" i="7"/>
  <c r="A33" i="4" s="1"/>
  <c r="A32" i="4"/>
  <c r="A31" i="4"/>
  <c r="B17" i="7"/>
  <c r="A27" i="4" s="1"/>
  <c r="A11" i="7"/>
  <c r="A16" i="4"/>
  <c r="A22" i="4" s="1"/>
  <c r="A10" i="7"/>
  <c r="A15" i="4" s="1"/>
  <c r="A21" i="4" s="1"/>
  <c r="A9" i="7"/>
  <c r="A14" i="4"/>
  <c r="A20" i="4" s="1"/>
  <c r="C3" i="4"/>
  <c r="D3" i="4" s="1"/>
  <c r="F8" i="7"/>
  <c r="F32" i="7" s="1"/>
  <c r="E32" i="7"/>
  <c r="G8" i="7"/>
  <c r="I8" i="7"/>
  <c r="J8" i="7"/>
  <c r="H8" i="7"/>
  <c r="O2" i="7"/>
  <c r="J65" i="6"/>
  <c r="F65" i="6"/>
  <c r="G48" i="6"/>
  <c r="D32" i="6"/>
  <c r="J27" i="6"/>
  <c r="F27" i="6"/>
  <c r="F19" i="6"/>
  <c r="G37" i="6" s="1"/>
  <c r="G45" i="6" s="1"/>
  <c r="E37" i="6"/>
  <c r="E45" i="6"/>
  <c r="G49" i="6"/>
  <c r="G47" i="6"/>
  <c r="G46" i="6"/>
  <c r="D18" i="6"/>
  <c r="A35" i="6"/>
  <c r="D53" i="6" s="1"/>
  <c r="C55" i="4"/>
  <c r="B59" i="4"/>
  <c r="A59" i="4"/>
  <c r="A57" i="4"/>
  <c r="A55" i="4"/>
  <c r="A54" i="4"/>
  <c r="A53" i="4"/>
  <c r="A52" i="4"/>
  <c r="A51" i="4"/>
  <c r="A50" i="4"/>
  <c r="A49" i="4"/>
  <c r="A48" i="4"/>
  <c r="A47" i="4"/>
  <c r="AQ35" i="4"/>
  <c r="AQ32" i="4"/>
  <c r="AQ31" i="4"/>
  <c r="AC35" i="4"/>
  <c r="AC32" i="4"/>
  <c r="AC31" i="4"/>
  <c r="F20" i="6"/>
  <c r="F21" i="6"/>
  <c r="F32" i="6" s="1"/>
  <c r="F25" i="6"/>
  <c r="F26" i="6"/>
  <c r="F29" i="6"/>
  <c r="F30" i="6"/>
  <c r="F31" i="6"/>
  <c r="B16" i="7"/>
  <c r="A26" i="4"/>
  <c r="H18" i="6"/>
  <c r="J20" i="6"/>
  <c r="J21" i="6"/>
  <c r="J25" i="6"/>
  <c r="J26" i="6"/>
  <c r="J29" i="6"/>
  <c r="J30" i="6"/>
  <c r="J31" i="6"/>
  <c r="J32" i="6"/>
  <c r="H32" i="6"/>
  <c r="J19" i="6"/>
  <c r="G15" i="7"/>
  <c r="J63" i="6"/>
  <c r="F63" i="6"/>
  <c r="A43" i="6"/>
  <c r="H53" i="6"/>
  <c r="J67" i="6"/>
  <c r="J64" i="6"/>
  <c r="J62" i="6"/>
  <c r="J61" i="6"/>
  <c r="J60" i="6"/>
  <c r="J59" i="6"/>
  <c r="J58" i="6"/>
  <c r="J57" i="6"/>
  <c r="J56" i="6"/>
  <c r="J54" i="6"/>
  <c r="F54" i="6"/>
  <c r="G40" i="6"/>
  <c r="G41" i="6"/>
  <c r="G39" i="6"/>
  <c r="G38" i="6"/>
  <c r="G57" i="7"/>
  <c r="I39" i="7" s="1"/>
  <c r="B16" i="4"/>
  <c r="O1" i="7"/>
  <c r="E3" i="7"/>
  <c r="E2" i="7"/>
  <c r="F56" i="6"/>
  <c r="F57" i="6"/>
  <c r="F58" i="6"/>
  <c r="F59" i="6"/>
  <c r="F60" i="6"/>
  <c r="F61" i="6"/>
  <c r="F62" i="6"/>
  <c r="F64" i="6"/>
  <c r="F67" i="6"/>
  <c r="B70" i="4"/>
  <c r="P19" i="4"/>
  <c r="P25" i="4" s="1"/>
  <c r="P40" i="4" s="1"/>
  <c r="P62" i="4" s="1"/>
  <c r="P72" i="4" s="1"/>
  <c r="B37" i="4"/>
  <c r="B20" i="4"/>
  <c r="B14" i="4"/>
  <c r="P5" i="6"/>
  <c r="P4" i="6"/>
  <c r="B45" i="4"/>
  <c r="B22" i="4"/>
  <c r="B21" i="4"/>
  <c r="B15" i="4"/>
  <c r="B57" i="4"/>
  <c r="B53" i="4"/>
  <c r="B35" i="4"/>
  <c r="B31" i="4"/>
  <c r="B52" i="4"/>
  <c r="B55" i="4"/>
  <c r="B54" i="4"/>
  <c r="B51" i="4"/>
  <c r="A90" i="4"/>
  <c r="B76" i="4"/>
  <c r="B79" i="4"/>
  <c r="B78" i="4"/>
  <c r="B75" i="4"/>
  <c r="B74" i="4"/>
  <c r="B73" i="4"/>
  <c r="B69" i="4"/>
  <c r="B68" i="4"/>
  <c r="B67" i="4"/>
  <c r="B66" i="4"/>
  <c r="B65" i="4"/>
  <c r="B64" i="4"/>
  <c r="B63" i="4"/>
  <c r="B60" i="4"/>
  <c r="B50" i="4"/>
  <c r="B49" i="4"/>
  <c r="B48" i="4"/>
  <c r="B47" i="4"/>
  <c r="B46" i="4"/>
  <c r="B38" i="4"/>
  <c r="B36" i="4"/>
  <c r="B33" i="4"/>
  <c r="B32" i="4"/>
  <c r="B27" i="4"/>
  <c r="B26" i="4"/>
  <c r="B23" i="4"/>
  <c r="B17" i="4"/>
  <c r="AQ27" i="4"/>
  <c r="AC27" i="4"/>
  <c r="AC26" i="4"/>
  <c r="AQ26" i="4"/>
  <c r="O78" i="4"/>
  <c r="AS78" i="4"/>
  <c r="AS19" i="4"/>
  <c r="AS25" i="4"/>
  <c r="AS40" i="4" s="1"/>
  <c r="AS62" i="4" s="1"/>
  <c r="AS72" i="4" s="1"/>
  <c r="AR19" i="4"/>
  <c r="AR25" i="4" s="1"/>
  <c r="AR40" i="4" s="1"/>
  <c r="AR62" i="4" s="1"/>
  <c r="AR72" i="4" s="1"/>
  <c r="AQ19" i="4"/>
  <c r="AQ25" i="4" s="1"/>
  <c r="AQ40" i="4" s="1"/>
  <c r="AQ62" i="4" s="1"/>
  <c r="AQ72" i="4" s="1"/>
  <c r="AD19" i="4"/>
  <c r="AD25" i="4" s="1"/>
  <c r="AD40" i="4" s="1"/>
  <c r="AD62" i="4" s="1"/>
  <c r="AD72" i="4" s="1"/>
  <c r="AC19" i="4"/>
  <c r="AC25" i="4" s="1"/>
  <c r="AC40" i="4" s="1"/>
  <c r="AC62" i="4" s="1"/>
  <c r="AC72" i="4" s="1"/>
  <c r="O19" i="4"/>
  <c r="O25" i="4"/>
  <c r="O40" i="4"/>
  <c r="O62" i="4" s="1"/>
  <c r="O72" i="4" s="1"/>
  <c r="A70" i="4"/>
  <c r="A67" i="4"/>
  <c r="A66" i="4"/>
  <c r="A64" i="4"/>
  <c r="C2" i="4"/>
  <c r="AC36" i="4"/>
  <c r="AQ36" i="4"/>
  <c r="C6" i="4" l="1"/>
  <c r="C56" i="4"/>
  <c r="K56" i="4"/>
  <c r="J55" i="4"/>
  <c r="Y56" i="4"/>
  <c r="AS35" i="4"/>
  <c r="AS31" i="4"/>
  <c r="AS27" i="4"/>
  <c r="AS29" i="4"/>
  <c r="AS32" i="4"/>
  <c r="AS36" i="4"/>
  <c r="Y21" i="4"/>
  <c r="AJ21" i="4"/>
  <c r="D21" i="4"/>
  <c r="AI21" i="4"/>
  <c r="W59" i="4"/>
  <c r="C59" i="4"/>
  <c r="H59" i="4"/>
  <c r="V59" i="4"/>
  <c r="G59" i="4"/>
  <c r="G28" i="7"/>
  <c r="L47" i="4"/>
  <c r="T47" i="4"/>
  <c r="M47" i="4"/>
  <c r="U47" i="4"/>
  <c r="AP47" i="4"/>
  <c r="C47" i="4"/>
  <c r="I52" i="4"/>
  <c r="Y52" i="4"/>
  <c r="C52" i="4"/>
  <c r="X52" i="4"/>
  <c r="G9" i="7"/>
  <c r="F9" i="7"/>
  <c r="D14" i="4" s="1"/>
  <c r="L48" i="4"/>
  <c r="AE48" i="4"/>
  <c r="C51" i="4"/>
  <c r="G56" i="4"/>
  <c r="L51" i="4"/>
  <c r="AJ56" i="4"/>
  <c r="F10" i="7"/>
  <c r="L15" i="4" s="1"/>
  <c r="M48" i="4"/>
  <c r="I10" i="7"/>
  <c r="J10" i="7" s="1"/>
  <c r="J56" i="4"/>
  <c r="Z56" i="4"/>
  <c r="C48" i="4"/>
  <c r="N56" i="4"/>
  <c r="F56" i="4"/>
  <c r="AK56" i="4"/>
  <c r="D28" i="7"/>
  <c r="C49" i="4"/>
  <c r="Q49" i="4"/>
  <c r="G15" i="4"/>
  <c r="D15" i="4"/>
  <c r="N15" i="4"/>
  <c r="AP15" i="4"/>
  <c r="AO15" i="4"/>
  <c r="AL15" i="4"/>
  <c r="AK15" i="4"/>
  <c r="AH15" i="4"/>
  <c r="AG15" i="4"/>
  <c r="AB15" i="4"/>
  <c r="AA15" i="4"/>
  <c r="X15" i="4"/>
  <c r="W15" i="4"/>
  <c r="T15" i="4"/>
  <c r="S15" i="4"/>
  <c r="F15" i="4"/>
  <c r="C15" i="4"/>
  <c r="AE58" i="4"/>
  <c r="AQ58" i="4" s="1"/>
  <c r="AR58" i="4" s="1"/>
  <c r="Q58" i="4"/>
  <c r="AC58" i="4" s="1"/>
  <c r="O34" i="4"/>
  <c r="AS34" i="4" s="1"/>
  <c r="AO53" i="4"/>
  <c r="AK53" i="4"/>
  <c r="AG53" i="4"/>
  <c r="Z53" i="4"/>
  <c r="V53" i="4"/>
  <c r="R53" i="4"/>
  <c r="AL53" i="4"/>
  <c r="AF53" i="4"/>
  <c r="AA53" i="4"/>
  <c r="U53" i="4"/>
  <c r="AP53" i="4"/>
  <c r="AJ53" i="4"/>
  <c r="AE53" i="4"/>
  <c r="Y53" i="4"/>
  <c r="T53" i="4"/>
  <c r="AN53" i="4"/>
  <c r="S53" i="4"/>
  <c r="G53" i="4"/>
  <c r="K53" i="4"/>
  <c r="AM53" i="4"/>
  <c r="AB53" i="4"/>
  <c r="Q53" i="4"/>
  <c r="D53" i="4"/>
  <c r="H53" i="4"/>
  <c r="L53" i="4"/>
  <c r="X53" i="4"/>
  <c r="I53" i="4"/>
  <c r="W53" i="4"/>
  <c r="J53" i="4"/>
  <c r="M53" i="4"/>
  <c r="N53" i="4"/>
  <c r="AO49" i="4"/>
  <c r="AK49" i="4"/>
  <c r="AG49" i="4"/>
  <c r="Z49" i="4"/>
  <c r="V49" i="4"/>
  <c r="R49" i="4"/>
  <c r="AL49" i="4"/>
  <c r="AF49" i="4"/>
  <c r="AA49" i="4"/>
  <c r="U49" i="4"/>
  <c r="AP49" i="4"/>
  <c r="AJ49" i="4"/>
  <c r="AE49" i="4"/>
  <c r="Y49" i="4"/>
  <c r="T49" i="4"/>
  <c r="AI49" i="4"/>
  <c r="X49" i="4"/>
  <c r="G49" i="4"/>
  <c r="K49" i="4"/>
  <c r="AH49" i="4"/>
  <c r="W49" i="4"/>
  <c r="D49" i="4"/>
  <c r="H49" i="4"/>
  <c r="L49" i="4"/>
  <c r="E49" i="4"/>
  <c r="M49" i="4"/>
  <c r="AB49" i="4"/>
  <c r="F49" i="4"/>
  <c r="N49" i="4"/>
  <c r="I49" i="4"/>
  <c r="J49" i="4"/>
  <c r="AH53" i="4"/>
  <c r="C13" i="4"/>
  <c r="C25" i="4"/>
  <c r="C19" i="4"/>
  <c r="C26" i="4"/>
  <c r="AI53" i="4"/>
  <c r="C62" i="4"/>
  <c r="C72" i="4"/>
  <c r="C53" i="4"/>
  <c r="AP21" i="4"/>
  <c r="AL21" i="4"/>
  <c r="AH21" i="4"/>
  <c r="AB21" i="4"/>
  <c r="X21" i="4"/>
  <c r="T21" i="4"/>
  <c r="E21" i="4"/>
  <c r="I21" i="4"/>
  <c r="M21" i="4"/>
  <c r="AO21" i="4"/>
  <c r="AK21" i="4"/>
  <c r="AG21" i="4"/>
  <c r="AA21" i="4"/>
  <c r="W21" i="4"/>
  <c r="S21" i="4"/>
  <c r="F21" i="4"/>
  <c r="J21" i="4"/>
  <c r="N21" i="4"/>
  <c r="AN21" i="4"/>
  <c r="AF21" i="4"/>
  <c r="V21" i="4"/>
  <c r="G21" i="4"/>
  <c r="AM21" i="4"/>
  <c r="AE21" i="4"/>
  <c r="U21" i="4"/>
  <c r="H21" i="4"/>
  <c r="R21" i="4"/>
  <c r="K21" i="4"/>
  <c r="C21" i="4"/>
  <c r="Q21" i="4"/>
  <c r="L21" i="4"/>
  <c r="F11" i="7"/>
  <c r="G11" i="7"/>
  <c r="I11" i="7" s="1"/>
  <c r="J11" i="7" s="1"/>
  <c r="D12" i="7"/>
  <c r="AM55" i="4"/>
  <c r="AI55" i="4"/>
  <c r="AE55" i="4"/>
  <c r="AB55" i="4"/>
  <c r="X55" i="4"/>
  <c r="T55" i="4"/>
  <c r="AO55" i="4"/>
  <c r="AJ55" i="4"/>
  <c r="Y55" i="4"/>
  <c r="S55" i="4"/>
  <c r="AN55" i="4"/>
  <c r="AH55" i="4"/>
  <c r="W55" i="4"/>
  <c r="R55" i="4"/>
  <c r="AG55" i="4"/>
  <c r="V55" i="4"/>
  <c r="G55" i="4"/>
  <c r="K55" i="4"/>
  <c r="AP55" i="4"/>
  <c r="AF55" i="4"/>
  <c r="U55" i="4"/>
  <c r="D55" i="4"/>
  <c r="H55" i="4"/>
  <c r="L55" i="4"/>
  <c r="AA55" i="4"/>
  <c r="E55" i="4"/>
  <c r="M55" i="4"/>
  <c r="Z55" i="4"/>
  <c r="F55" i="4"/>
  <c r="N55" i="4"/>
  <c r="AL55" i="4"/>
  <c r="Q55" i="4"/>
  <c r="AK55" i="4"/>
  <c r="AO50" i="4"/>
  <c r="AK50" i="4"/>
  <c r="AG50" i="4"/>
  <c r="Z50" i="4"/>
  <c r="V50" i="4"/>
  <c r="R50" i="4"/>
  <c r="AP50" i="4"/>
  <c r="AJ50" i="4"/>
  <c r="AE50" i="4"/>
  <c r="Y50" i="4"/>
  <c r="T50" i="4"/>
  <c r="AN50" i="4"/>
  <c r="AI50" i="4"/>
  <c r="X50" i="4"/>
  <c r="S50" i="4"/>
  <c r="AH50" i="4"/>
  <c r="W50" i="4"/>
  <c r="D50" i="4"/>
  <c r="H50" i="4"/>
  <c r="L50" i="4"/>
  <c r="AF50" i="4"/>
  <c r="U50" i="4"/>
  <c r="E50" i="4"/>
  <c r="I50" i="4"/>
  <c r="M50" i="4"/>
  <c r="AM50" i="4"/>
  <c r="Q50" i="4"/>
  <c r="J50" i="4"/>
  <c r="C50" i="4"/>
  <c r="AL50" i="4"/>
  <c r="K50" i="4"/>
  <c r="AB50" i="4"/>
  <c r="N50" i="4"/>
  <c r="AA50" i="4"/>
  <c r="G50" i="7"/>
  <c r="Z21" i="4"/>
  <c r="E53" i="4"/>
  <c r="F50" i="4"/>
  <c r="S49" i="4"/>
  <c r="AN49" i="4"/>
  <c r="AO51" i="4"/>
  <c r="AK51" i="4"/>
  <c r="AG51" i="4"/>
  <c r="Z51" i="4"/>
  <c r="V51" i="4"/>
  <c r="R51" i="4"/>
  <c r="AN51" i="4"/>
  <c r="AI51" i="4"/>
  <c r="X51" i="4"/>
  <c r="S51" i="4"/>
  <c r="AM51" i="4"/>
  <c r="AH51" i="4"/>
  <c r="AB51" i="4"/>
  <c r="W51" i="4"/>
  <c r="Q51" i="4"/>
  <c r="AF51" i="4"/>
  <c r="U51" i="4"/>
  <c r="E51" i="4"/>
  <c r="I51" i="4"/>
  <c r="M51" i="4"/>
  <c r="AP51" i="4"/>
  <c r="AE51" i="4"/>
  <c r="T51" i="4"/>
  <c r="F51" i="4"/>
  <c r="J51" i="4"/>
  <c r="N51" i="4"/>
  <c r="AA51" i="4"/>
  <c r="G51" i="4"/>
  <c r="Y51" i="4"/>
  <c r="H51" i="4"/>
  <c r="E14" i="4"/>
  <c r="I14" i="4"/>
  <c r="J14" i="4"/>
  <c r="K14" i="4"/>
  <c r="AP14" i="4"/>
  <c r="AO14" i="4"/>
  <c r="AL14" i="4"/>
  <c r="AK14" i="4"/>
  <c r="AH14" i="4"/>
  <c r="AG14" i="4"/>
  <c r="AB14" i="4"/>
  <c r="AA14" i="4"/>
  <c r="X14" i="4"/>
  <c r="W14" i="4"/>
  <c r="T14" i="4"/>
  <c r="S14" i="4"/>
  <c r="F14" i="4"/>
  <c r="F12" i="7"/>
  <c r="D51" i="4"/>
  <c r="AJ51" i="4"/>
  <c r="E3" i="4"/>
  <c r="D6" i="4"/>
  <c r="AO52" i="4"/>
  <c r="AK52" i="4"/>
  <c r="AG52" i="4"/>
  <c r="Z52" i="4"/>
  <c r="V52" i="4"/>
  <c r="R52" i="4"/>
  <c r="AM52" i="4"/>
  <c r="AH52" i="4"/>
  <c r="AB52" i="4"/>
  <c r="W52" i="4"/>
  <c r="Q52" i="4"/>
  <c r="AL52" i="4"/>
  <c r="AF52" i="4"/>
  <c r="AA52" i="4"/>
  <c r="U52" i="4"/>
  <c r="AP52" i="4"/>
  <c r="AE52" i="4"/>
  <c r="T52" i="4"/>
  <c r="F52" i="4"/>
  <c r="J52" i="4"/>
  <c r="N52" i="4"/>
  <c r="AN52" i="4"/>
  <c r="S52" i="4"/>
  <c r="G52" i="4"/>
  <c r="K52" i="4"/>
  <c r="AJ52" i="4"/>
  <c r="D52" i="4"/>
  <c r="L52" i="4"/>
  <c r="AI52" i="4"/>
  <c r="E52" i="4"/>
  <c r="M52" i="4"/>
  <c r="H52" i="4"/>
  <c r="AL51" i="4"/>
  <c r="AO47" i="4"/>
  <c r="AK47" i="4"/>
  <c r="AG47" i="4"/>
  <c r="Z47" i="4"/>
  <c r="V47" i="4"/>
  <c r="R47" i="4"/>
  <c r="AN47" i="4"/>
  <c r="AI47" i="4"/>
  <c r="X47" i="4"/>
  <c r="S47" i="4"/>
  <c r="AM47" i="4"/>
  <c r="AH47" i="4"/>
  <c r="AB47" i="4"/>
  <c r="W47" i="4"/>
  <c r="Q47" i="4"/>
  <c r="F47" i="4"/>
  <c r="J47" i="4"/>
  <c r="N47" i="4"/>
  <c r="AL47" i="4"/>
  <c r="AA47" i="4"/>
  <c r="D47" i="4"/>
  <c r="I47" i="4"/>
  <c r="AJ47" i="4"/>
  <c r="Y47" i="4"/>
  <c r="E47" i="4"/>
  <c r="K47" i="4"/>
  <c r="AP59" i="4"/>
  <c r="AL59" i="4"/>
  <c r="AH59" i="4"/>
  <c r="AB59" i="4"/>
  <c r="X59" i="4"/>
  <c r="T59" i="4"/>
  <c r="AO59" i="4"/>
  <c r="AJ59" i="4"/>
  <c r="AE59" i="4"/>
  <c r="Z59" i="4"/>
  <c r="U59" i="4"/>
  <c r="AN59" i="4"/>
  <c r="AI59" i="4"/>
  <c r="Y59" i="4"/>
  <c r="S59" i="4"/>
  <c r="AM59" i="4"/>
  <c r="R59" i="4"/>
  <c r="E59" i="4"/>
  <c r="I59" i="4"/>
  <c r="M59" i="4"/>
  <c r="AK59" i="4"/>
  <c r="AA59" i="4"/>
  <c r="Q59" i="4"/>
  <c r="F59" i="4"/>
  <c r="J59" i="4"/>
  <c r="N59" i="4"/>
  <c r="L59" i="4"/>
  <c r="D59" i="4"/>
  <c r="H48" i="4"/>
  <c r="H47" i="4"/>
  <c r="S48" i="4"/>
  <c r="AE47" i="4"/>
  <c r="AF59" i="4"/>
  <c r="AO48" i="4"/>
  <c r="AK48" i="4"/>
  <c r="AG48" i="4"/>
  <c r="Z48" i="4"/>
  <c r="V48" i="4"/>
  <c r="R48" i="4"/>
  <c r="AM48" i="4"/>
  <c r="AH48" i="4"/>
  <c r="AB48" i="4"/>
  <c r="W48" i="4"/>
  <c r="Q48" i="4"/>
  <c r="AL48" i="4"/>
  <c r="AF48" i="4"/>
  <c r="AA48" i="4"/>
  <c r="U48" i="4"/>
  <c r="G48" i="4"/>
  <c r="K48" i="4"/>
  <c r="AJ48" i="4"/>
  <c r="Y48" i="4"/>
  <c r="D48" i="4"/>
  <c r="I48" i="4"/>
  <c r="N48" i="4"/>
  <c r="AI48" i="4"/>
  <c r="X48" i="4"/>
  <c r="E48" i="4"/>
  <c r="J48" i="4"/>
  <c r="K59" i="4"/>
  <c r="F48" i="4"/>
  <c r="G47" i="4"/>
  <c r="T48" i="4"/>
  <c r="AF47" i="4"/>
  <c r="AP48" i="4"/>
  <c r="AG59" i="4"/>
  <c r="M56" i="4"/>
  <c r="I56" i="4"/>
  <c r="E56" i="4"/>
  <c r="S56" i="4"/>
  <c r="AM56" i="4"/>
  <c r="AI56" i="4"/>
  <c r="AE56" i="4"/>
  <c r="AB56" i="4"/>
  <c r="X56" i="4"/>
  <c r="T56" i="4"/>
  <c r="AN56" i="4"/>
  <c r="AH56" i="4"/>
  <c r="W56" i="4"/>
  <c r="R56" i="4"/>
  <c r="AL56" i="4"/>
  <c r="AG56" i="4"/>
  <c r="AA56" i="4"/>
  <c r="V56" i="4"/>
  <c r="Q56" i="4"/>
  <c r="L56" i="4"/>
  <c r="H56" i="4"/>
  <c r="D56" i="4"/>
  <c r="U56" i="4"/>
  <c r="AF56" i="4"/>
  <c r="AP56" i="4"/>
  <c r="C40" i="4" l="1"/>
  <c r="C81" i="4"/>
  <c r="I15" i="4"/>
  <c r="Q14" i="4"/>
  <c r="U14" i="4"/>
  <c r="Y14" i="4"/>
  <c r="AE14" i="4"/>
  <c r="AI14" i="4"/>
  <c r="AM14" i="4"/>
  <c r="C14" i="4"/>
  <c r="G14" i="4"/>
  <c r="H14" i="4"/>
  <c r="Q15" i="4"/>
  <c r="U15" i="4"/>
  <c r="Y15" i="4"/>
  <c r="AE15" i="4"/>
  <c r="AI15" i="4"/>
  <c r="AM15" i="4"/>
  <c r="K15" i="4"/>
  <c r="M15" i="4"/>
  <c r="N14" i="4"/>
  <c r="R14" i="4"/>
  <c r="V14" i="4"/>
  <c r="Z14" i="4"/>
  <c r="AF14" i="4"/>
  <c r="AJ14" i="4"/>
  <c r="AN14" i="4"/>
  <c r="L14" i="4"/>
  <c r="M14" i="4"/>
  <c r="E15" i="4"/>
  <c r="R15" i="4"/>
  <c r="V15" i="4"/>
  <c r="Z15" i="4"/>
  <c r="AF15" i="4"/>
  <c r="AJ15" i="4"/>
  <c r="AN15" i="4"/>
  <c r="J15" i="4"/>
  <c r="H15" i="4"/>
  <c r="O56" i="4"/>
  <c r="P56" i="4" s="1"/>
  <c r="AC59" i="4"/>
  <c r="AD59" i="4" s="1"/>
  <c r="O50" i="4"/>
  <c r="P50" i="4" s="1"/>
  <c r="AQ48" i="4"/>
  <c r="AR48" i="4" s="1"/>
  <c r="AQ51" i="4"/>
  <c r="AR51" i="4" s="1"/>
  <c r="O59" i="4"/>
  <c r="P59" i="4" s="1"/>
  <c r="AQ49" i="4"/>
  <c r="AR49" i="4" s="1"/>
  <c r="I9" i="7"/>
  <c r="H9" i="7"/>
  <c r="D19" i="4"/>
  <c r="D40" i="4"/>
  <c r="D72" i="4"/>
  <c r="D62" i="4"/>
  <c r="D25" i="4"/>
  <c r="D81" i="4"/>
  <c r="D13" i="4"/>
  <c r="AQ50" i="4"/>
  <c r="AR50" i="4" s="1"/>
  <c r="AC21" i="4"/>
  <c r="AD21" i="4" s="1"/>
  <c r="O48" i="4"/>
  <c r="O52" i="4"/>
  <c r="AC52" i="4"/>
  <c r="AD52" i="4" s="1"/>
  <c r="E6" i="4"/>
  <c r="F3" i="4"/>
  <c r="I50" i="7"/>
  <c r="O55" i="4"/>
  <c r="G12" i="7"/>
  <c r="H11" i="7"/>
  <c r="O21" i="4"/>
  <c r="O26" i="4"/>
  <c r="AC49" i="4"/>
  <c r="AD49" i="4" s="1"/>
  <c r="AQ55" i="4"/>
  <c r="AR55" i="4" s="1"/>
  <c r="AC56" i="4"/>
  <c r="AD56" i="4" s="1"/>
  <c r="AQ56" i="4"/>
  <c r="AR56" i="4" s="1"/>
  <c r="AC48" i="4"/>
  <c r="AD48" i="4" s="1"/>
  <c r="AQ59" i="4"/>
  <c r="AR59" i="4" s="1"/>
  <c r="AC47" i="4"/>
  <c r="AD47" i="4" s="1"/>
  <c r="O51" i="4"/>
  <c r="AC50" i="4"/>
  <c r="AD50" i="4" s="1"/>
  <c r="AC55" i="4"/>
  <c r="AD55" i="4" s="1"/>
  <c r="F16" i="4"/>
  <c r="F17" i="4" s="1"/>
  <c r="G16" i="4"/>
  <c r="G17" i="4" s="1"/>
  <c r="K16" i="4"/>
  <c r="E16" i="4"/>
  <c r="D16" i="4"/>
  <c r="D17" i="4" s="1"/>
  <c r="L16" i="4"/>
  <c r="M16" i="4"/>
  <c r="N16" i="4"/>
  <c r="I16" i="4"/>
  <c r="AO16" i="4"/>
  <c r="AO17" i="4" s="1"/>
  <c r="AM16" i="4"/>
  <c r="AK16" i="4"/>
  <c r="AK17" i="4" s="1"/>
  <c r="AI16" i="4"/>
  <c r="AG16" i="4"/>
  <c r="AG17" i="4" s="1"/>
  <c r="AE16" i="4"/>
  <c r="AB16" i="4"/>
  <c r="AB17" i="4" s="1"/>
  <c r="Z16" i="4"/>
  <c r="X16" i="4"/>
  <c r="X17" i="4" s="1"/>
  <c r="V16" i="4"/>
  <c r="T16" i="4"/>
  <c r="T17" i="4" s="1"/>
  <c r="R16" i="4"/>
  <c r="J16" i="4"/>
  <c r="J17" i="4" s="1"/>
  <c r="AP16" i="4"/>
  <c r="AP17" i="4" s="1"/>
  <c r="AL16" i="4"/>
  <c r="AL17" i="4" s="1"/>
  <c r="AH16" i="4"/>
  <c r="AH17" i="4" s="1"/>
  <c r="Y16" i="4"/>
  <c r="U16" i="4"/>
  <c r="Q16" i="4"/>
  <c r="H16" i="4"/>
  <c r="C16" i="4"/>
  <c r="AJ16" i="4"/>
  <c r="W16" i="4"/>
  <c r="W17" i="4" s="1"/>
  <c r="AN16" i="4"/>
  <c r="AF16" i="4"/>
  <c r="AA16" i="4"/>
  <c r="AA17" i="4" s="1"/>
  <c r="S16" i="4"/>
  <c r="S17" i="4" s="1"/>
  <c r="AQ21" i="4"/>
  <c r="AR21" i="4" s="1"/>
  <c r="AS58" i="4"/>
  <c r="AD58" i="4"/>
  <c r="O47" i="4"/>
  <c r="AQ53" i="4"/>
  <c r="AR53" i="4" s="1"/>
  <c r="AQ47" i="4"/>
  <c r="AR47" i="4" s="1"/>
  <c r="AQ52" i="4"/>
  <c r="AR52" i="4" s="1"/>
  <c r="AC51" i="4"/>
  <c r="AD51" i="4" s="1"/>
  <c r="O53" i="4"/>
  <c r="AC53" i="4"/>
  <c r="AD53" i="4" s="1"/>
  <c r="O49" i="4"/>
  <c r="L17" i="4" l="1"/>
  <c r="I17" i="4"/>
  <c r="AN17" i="4"/>
  <c r="AN46" i="4" s="1"/>
  <c r="AI17" i="4"/>
  <c r="AI57" i="4" s="1"/>
  <c r="V17" i="4"/>
  <c r="M17" i="4"/>
  <c r="M57" i="4" s="1"/>
  <c r="K17" i="4"/>
  <c r="K46" i="4" s="1"/>
  <c r="O15" i="4"/>
  <c r="P15" i="4" s="1"/>
  <c r="AM17" i="4"/>
  <c r="AF17" i="4"/>
  <c r="AF57" i="4" s="1"/>
  <c r="U17" i="4"/>
  <c r="U46" i="4" s="1"/>
  <c r="O14" i="4"/>
  <c r="N17" i="4"/>
  <c r="H17" i="4"/>
  <c r="H46" i="4" s="1"/>
  <c r="Z17" i="4"/>
  <c r="Z46" i="4" s="1"/>
  <c r="AC14" i="4"/>
  <c r="AD14" i="4" s="1"/>
  <c r="Y17" i="4"/>
  <c r="R17" i="4"/>
  <c r="R45" i="4" s="1"/>
  <c r="AC15" i="4"/>
  <c r="AD15" i="4" s="1"/>
  <c r="E17" i="4"/>
  <c r="E63" i="4" s="1"/>
  <c r="AQ14" i="4"/>
  <c r="AJ17" i="4"/>
  <c r="AJ57" i="4" s="1"/>
  <c r="AQ15" i="4"/>
  <c r="AR15" i="4" s="1"/>
  <c r="AE17" i="4"/>
  <c r="AE63" i="4" s="1"/>
  <c r="AS50" i="4"/>
  <c r="O16" i="4"/>
  <c r="AF20" i="4"/>
  <c r="F20" i="4"/>
  <c r="C20" i="4"/>
  <c r="V20" i="4"/>
  <c r="AM20" i="4"/>
  <c r="U20" i="4"/>
  <c r="AE20" i="4"/>
  <c r="G20" i="4"/>
  <c r="AN20" i="4"/>
  <c r="N20" i="4"/>
  <c r="AP20" i="4"/>
  <c r="X20" i="4"/>
  <c r="L20" i="4"/>
  <c r="AA20" i="4"/>
  <c r="I20" i="4"/>
  <c r="Y20" i="4"/>
  <c r="R20" i="4"/>
  <c r="AH20" i="4"/>
  <c r="AK20" i="4"/>
  <c r="K20" i="4"/>
  <c r="H20" i="4"/>
  <c r="AG20" i="4"/>
  <c r="AL20" i="4"/>
  <c r="T20" i="4"/>
  <c r="AO20" i="4"/>
  <c r="W20" i="4"/>
  <c r="M20" i="4"/>
  <c r="AI20" i="4"/>
  <c r="Z20" i="4"/>
  <c r="D20" i="4"/>
  <c r="S20" i="4"/>
  <c r="AJ20" i="4"/>
  <c r="AB20" i="4"/>
  <c r="E20" i="4"/>
  <c r="Q20" i="4"/>
  <c r="J20" i="4"/>
  <c r="J9" i="7"/>
  <c r="J12" i="7" s="1"/>
  <c r="I12" i="7"/>
  <c r="Y46" i="4"/>
  <c r="Y57" i="4"/>
  <c r="Y63" i="4"/>
  <c r="Y45" i="4"/>
  <c r="X57" i="4"/>
  <c r="X46" i="4"/>
  <c r="X63" i="4"/>
  <c r="X45" i="4"/>
  <c r="G46" i="4"/>
  <c r="G63" i="4"/>
  <c r="G57" i="4"/>
  <c r="G45" i="4"/>
  <c r="AH63" i="4"/>
  <c r="AH57" i="4"/>
  <c r="AH46" i="4"/>
  <c r="AH45" i="4"/>
  <c r="AI45" i="4"/>
  <c r="I46" i="4"/>
  <c r="I57" i="4"/>
  <c r="I63" i="4"/>
  <c r="I45" i="4"/>
  <c r="F46" i="4"/>
  <c r="F57" i="4"/>
  <c r="F63" i="4"/>
  <c r="F45" i="4"/>
  <c r="J46" i="4"/>
  <c r="J63" i="4"/>
  <c r="J57" i="4"/>
  <c r="J45" i="4"/>
  <c r="AO46" i="4"/>
  <c r="AO57" i="4"/>
  <c r="AO63" i="4"/>
  <c r="AO45" i="4"/>
  <c r="L57" i="4"/>
  <c r="L63" i="4"/>
  <c r="L46" i="4"/>
  <c r="L45" i="4"/>
  <c r="W46" i="4"/>
  <c r="W63" i="4"/>
  <c r="W57" i="4"/>
  <c r="W45" i="4"/>
  <c r="AL57" i="4"/>
  <c r="AL46" i="4"/>
  <c r="AL63" i="4"/>
  <c r="AL45" i="4"/>
  <c r="T57" i="4"/>
  <c r="T46" i="4"/>
  <c r="T63" i="4"/>
  <c r="T45" i="4"/>
  <c r="AB57" i="4"/>
  <c r="AB46" i="4"/>
  <c r="AB63" i="4"/>
  <c r="AB45" i="4"/>
  <c r="AG46" i="4"/>
  <c r="AG57" i="4"/>
  <c r="AG63" i="4"/>
  <c r="AG45" i="4"/>
  <c r="AA57" i="4"/>
  <c r="AA46" i="4"/>
  <c r="AA63" i="4"/>
  <c r="AA45" i="4"/>
  <c r="U57" i="4"/>
  <c r="U63" i="4"/>
  <c r="AE46" i="4"/>
  <c r="AS49" i="4"/>
  <c r="P49" i="4"/>
  <c r="P47" i="4"/>
  <c r="AS47" i="4"/>
  <c r="AM57" i="4"/>
  <c r="AM46" i="4"/>
  <c r="AM63" i="4"/>
  <c r="AM45" i="4"/>
  <c r="AS21" i="4"/>
  <c r="P21" i="4"/>
  <c r="AP46" i="4"/>
  <c r="AP57" i="4"/>
  <c r="AP63" i="4"/>
  <c r="AP45" i="4"/>
  <c r="Z63" i="4"/>
  <c r="Z45" i="4"/>
  <c r="K57" i="4"/>
  <c r="K45" i="4"/>
  <c r="AS51" i="4"/>
  <c r="P51" i="4"/>
  <c r="AP22" i="4"/>
  <c r="AP23" i="4" s="1"/>
  <c r="AP64" i="4" s="1"/>
  <c r="AL22" i="4"/>
  <c r="AH22" i="4"/>
  <c r="AB22" i="4"/>
  <c r="X22" i="4"/>
  <c r="T22" i="4"/>
  <c r="F22" i="4"/>
  <c r="J22" i="4"/>
  <c r="N22" i="4"/>
  <c r="AO22" i="4"/>
  <c r="AK22" i="4"/>
  <c r="AG22" i="4"/>
  <c r="AA22" i="4"/>
  <c r="W22" i="4"/>
  <c r="S22" i="4"/>
  <c r="G22" i="4"/>
  <c r="K22" i="4"/>
  <c r="C22" i="4"/>
  <c r="AJ22" i="4"/>
  <c r="Z22" i="4"/>
  <c r="R22" i="4"/>
  <c r="D22" i="4"/>
  <c r="L22" i="4"/>
  <c r="AI22" i="4"/>
  <c r="Y22" i="4"/>
  <c r="Q22" i="4"/>
  <c r="E22" i="4"/>
  <c r="M22" i="4"/>
  <c r="AF22" i="4"/>
  <c r="V22" i="4"/>
  <c r="AE22" i="4"/>
  <c r="U22" i="4"/>
  <c r="AN22" i="4"/>
  <c r="H22" i="4"/>
  <c r="AM22" i="4"/>
  <c r="I22" i="4"/>
  <c r="H12" i="7"/>
  <c r="AI54" i="4"/>
  <c r="AA54" i="4"/>
  <c r="S54" i="4"/>
  <c r="I54" i="4"/>
  <c r="AO54" i="4"/>
  <c r="AE54" i="4"/>
  <c r="W54" i="4"/>
  <c r="M54" i="4"/>
  <c r="AM54" i="4"/>
  <c r="U54" i="4"/>
  <c r="K54" i="4"/>
  <c r="Q54" i="4"/>
  <c r="AK54" i="4"/>
  <c r="G54" i="4"/>
  <c r="C54" i="4"/>
  <c r="AG54" i="4"/>
  <c r="E54" i="4"/>
  <c r="Y54" i="4"/>
  <c r="AS48" i="4"/>
  <c r="P48" i="4"/>
  <c r="AS59" i="4"/>
  <c r="M46" i="4"/>
  <c r="N57" i="4"/>
  <c r="N63" i="4"/>
  <c r="N46" i="4"/>
  <c r="N45" i="4"/>
  <c r="E13" i="4"/>
  <c r="E25" i="4"/>
  <c r="E81" i="4"/>
  <c r="E40" i="4"/>
  <c r="E19" i="4"/>
  <c r="E62" i="4"/>
  <c r="E72" i="4"/>
  <c r="S46" i="4"/>
  <c r="S57" i="4"/>
  <c r="S63" i="4"/>
  <c r="S45" i="4"/>
  <c r="AN63" i="4"/>
  <c r="AN45" i="4"/>
  <c r="V46" i="4"/>
  <c r="V57" i="4"/>
  <c r="V63" i="4"/>
  <c r="V45" i="4"/>
  <c r="AC16" i="4"/>
  <c r="AD16" i="4" s="1"/>
  <c r="C17" i="4"/>
  <c r="Q17" i="4"/>
  <c r="AS26" i="4"/>
  <c r="AS52" i="4"/>
  <c r="P52" i="4"/>
  <c r="AK46" i="4"/>
  <c r="AK57" i="4"/>
  <c r="AK63" i="4"/>
  <c r="AK45" i="4"/>
  <c r="AS53" i="4"/>
  <c r="P53" i="4"/>
  <c r="D46" i="4"/>
  <c r="D57" i="4"/>
  <c r="D63" i="4"/>
  <c r="D45" i="4"/>
  <c r="R63" i="4"/>
  <c r="AQ16" i="4"/>
  <c r="AR16" i="4" s="1"/>
  <c r="P14" i="4"/>
  <c r="AS55" i="4"/>
  <c r="P55" i="4"/>
  <c r="G3" i="4"/>
  <c r="F6" i="4"/>
  <c r="AS56" i="4"/>
  <c r="Z23" i="4" l="1"/>
  <c r="Z64" i="4" s="1"/>
  <c r="AB23" i="4"/>
  <c r="AB64" i="4" s="1"/>
  <c r="K63" i="4"/>
  <c r="K73" i="4" s="1"/>
  <c r="Z57" i="4"/>
  <c r="Z60" i="4" s="1"/>
  <c r="Z67" i="4" s="1"/>
  <c r="AE45" i="4"/>
  <c r="U45" i="4"/>
  <c r="E45" i="4"/>
  <c r="E60" i="4" s="1"/>
  <c r="AI46" i="4"/>
  <c r="AI60" i="4" s="1"/>
  <c r="AI41" i="4" s="1"/>
  <c r="AE57" i="4"/>
  <c r="AI63" i="4"/>
  <c r="AN57" i="4"/>
  <c r="AN60" i="4" s="1"/>
  <c r="U23" i="4"/>
  <c r="U64" i="4" s="1"/>
  <c r="AG23" i="4"/>
  <c r="AG64" i="4" s="1"/>
  <c r="AM23" i="4"/>
  <c r="AM64" i="4" s="1"/>
  <c r="AM65" i="4" s="1"/>
  <c r="L23" i="4"/>
  <c r="L64" i="4" s="1"/>
  <c r="E57" i="4"/>
  <c r="V23" i="4"/>
  <c r="V64" i="4" s="1"/>
  <c r="T23" i="4"/>
  <c r="T64" i="4" s="1"/>
  <c r="AF45" i="4"/>
  <c r="AQ45" i="4" s="1"/>
  <c r="M63" i="4"/>
  <c r="M45" i="4"/>
  <c r="E46" i="4"/>
  <c r="AJ63" i="4"/>
  <c r="AJ73" i="4" s="1"/>
  <c r="AF46" i="4"/>
  <c r="AF63" i="4"/>
  <c r="AF73" i="4" s="1"/>
  <c r="Y23" i="4"/>
  <c r="Y64" i="4" s="1"/>
  <c r="Y65" i="4" s="1"/>
  <c r="X23" i="4"/>
  <c r="X64" i="4" s="1"/>
  <c r="R57" i="4"/>
  <c r="R46" i="4"/>
  <c r="R60" i="4" s="1"/>
  <c r="H63" i="4"/>
  <c r="H73" i="4" s="1"/>
  <c r="H57" i="4"/>
  <c r="H45" i="4"/>
  <c r="K23" i="4"/>
  <c r="K64" i="4" s="1"/>
  <c r="AS15" i="4"/>
  <c r="O17" i="4"/>
  <c r="AS14" i="4"/>
  <c r="J23" i="4"/>
  <c r="J64" i="4" s="1"/>
  <c r="J65" i="4" s="1"/>
  <c r="P16" i="4"/>
  <c r="P17" i="4" s="1"/>
  <c r="AJ46" i="4"/>
  <c r="AJ60" i="4" s="1"/>
  <c r="AJ45" i="4"/>
  <c r="AJ23" i="4"/>
  <c r="AJ64" i="4" s="1"/>
  <c r="AI23" i="4"/>
  <c r="AI64" i="4" s="1"/>
  <c r="AR14" i="4"/>
  <c r="AR17" i="4" s="1"/>
  <c r="G23" i="4"/>
  <c r="G64" i="4" s="1"/>
  <c r="AN23" i="4"/>
  <c r="AN64" i="4" s="1"/>
  <c r="AF23" i="4"/>
  <c r="AF64" i="4" s="1"/>
  <c r="R23" i="4"/>
  <c r="R64" i="4" s="1"/>
  <c r="R65" i="4" s="1"/>
  <c r="AA23" i="4"/>
  <c r="AA64" i="4" s="1"/>
  <c r="AA65" i="4" s="1"/>
  <c r="N23" i="4"/>
  <c r="N64" i="4" s="1"/>
  <c r="N65" i="4" s="1"/>
  <c r="AC20" i="4"/>
  <c r="AD20" i="4" s="1"/>
  <c r="AQ20" i="4"/>
  <c r="AR20" i="4" s="1"/>
  <c r="AA60" i="4"/>
  <c r="AL60" i="4"/>
  <c r="AL67" i="4" s="1"/>
  <c r="J60" i="4"/>
  <c r="O20" i="4"/>
  <c r="I23" i="4"/>
  <c r="I64" i="4" s="1"/>
  <c r="I65" i="4" s="1"/>
  <c r="M23" i="4"/>
  <c r="M64" i="4" s="1"/>
  <c r="M65" i="4" s="1"/>
  <c r="U60" i="4"/>
  <c r="U67" i="4" s="1"/>
  <c r="L60" i="4"/>
  <c r="L74" i="4" s="1"/>
  <c r="F60" i="4"/>
  <c r="E23" i="4"/>
  <c r="E64" i="4" s="1"/>
  <c r="E65" i="4" s="1"/>
  <c r="S23" i="4"/>
  <c r="S64" i="4" s="1"/>
  <c r="S65" i="4" s="1"/>
  <c r="AK23" i="4"/>
  <c r="AK64" i="4" s="1"/>
  <c r="AK65" i="4" s="1"/>
  <c r="F23" i="4"/>
  <c r="F64" i="4" s="1"/>
  <c r="F65" i="4" s="1"/>
  <c r="AH23" i="4"/>
  <c r="AH64" i="4" s="1"/>
  <c r="AH65" i="4" s="1"/>
  <c r="AD17" i="4"/>
  <c r="H23" i="4"/>
  <c r="H64" i="4" s="1"/>
  <c r="H65" i="4" s="1"/>
  <c r="D23" i="4"/>
  <c r="D64" i="4" s="1"/>
  <c r="D65" i="4" s="1"/>
  <c r="W23" i="4"/>
  <c r="W64" i="4" s="1"/>
  <c r="W65" i="4" s="1"/>
  <c r="AO23" i="4"/>
  <c r="AO64" i="4" s="1"/>
  <c r="AO65" i="4" s="1"/>
  <c r="AL23" i="4"/>
  <c r="AL64" i="4" s="1"/>
  <c r="AL65" i="4" s="1"/>
  <c r="AP60" i="4"/>
  <c r="N60" i="4"/>
  <c r="N41" i="4" s="1"/>
  <c r="M60" i="4"/>
  <c r="I60" i="4"/>
  <c r="I67" i="4" s="1"/>
  <c r="AH60" i="4"/>
  <c r="AH67" i="4" s="1"/>
  <c r="X60" i="4"/>
  <c r="X67" i="4" s="1"/>
  <c r="AF60" i="4"/>
  <c r="AG60" i="4"/>
  <c r="AB60" i="4"/>
  <c r="AB41" i="4" s="1"/>
  <c r="T60" i="4"/>
  <c r="H3" i="4"/>
  <c r="G6" i="4"/>
  <c r="AN65" i="4"/>
  <c r="AN73" i="4"/>
  <c r="L65" i="4"/>
  <c r="L73" i="4"/>
  <c r="J73" i="4"/>
  <c r="AC17" i="4"/>
  <c r="D60" i="4"/>
  <c r="AK60" i="4"/>
  <c r="C46" i="4"/>
  <c r="C57" i="4"/>
  <c r="C63" i="4"/>
  <c r="C45" i="4"/>
  <c r="S60" i="4"/>
  <c r="M73" i="4"/>
  <c r="AQ54" i="4"/>
  <c r="AR54" i="4" s="1"/>
  <c r="AQ22" i="4"/>
  <c r="AE23" i="4"/>
  <c r="AE37" i="4" s="1"/>
  <c r="AP65" i="4"/>
  <c r="AP73" i="4"/>
  <c r="AM73" i="4"/>
  <c r="AE73" i="4"/>
  <c r="AA73" i="4"/>
  <c r="E73" i="4"/>
  <c r="T65" i="4"/>
  <c r="T73" i="4"/>
  <c r="AO73" i="4"/>
  <c r="F73" i="4"/>
  <c r="AI65" i="4"/>
  <c r="AI73" i="4"/>
  <c r="AH73" i="4"/>
  <c r="Y73" i="4"/>
  <c r="D73" i="4"/>
  <c r="AK73" i="4"/>
  <c r="N73" i="4"/>
  <c r="U65" i="4"/>
  <c r="U73" i="4"/>
  <c r="O54" i="4"/>
  <c r="O22" i="4"/>
  <c r="C23" i="4"/>
  <c r="C64" i="4" s="1"/>
  <c r="K60" i="4"/>
  <c r="K65" i="4"/>
  <c r="AM60" i="4"/>
  <c r="AM41" i="4" s="1"/>
  <c r="AE60" i="4"/>
  <c r="AA67" i="4"/>
  <c r="W60" i="4"/>
  <c r="W73" i="4"/>
  <c r="AO60" i="4"/>
  <c r="G60" i="4"/>
  <c r="G73" i="4"/>
  <c r="G65" i="4"/>
  <c r="Y60" i="4"/>
  <c r="R73" i="4"/>
  <c r="Q57" i="4"/>
  <c r="Q46" i="4"/>
  <c r="Q63" i="4"/>
  <c r="Q45" i="4"/>
  <c r="S73" i="4"/>
  <c r="H60" i="4"/>
  <c r="V65" i="4"/>
  <c r="V73" i="4"/>
  <c r="AS16" i="4"/>
  <c r="AC22" i="4"/>
  <c r="Q23" i="4"/>
  <c r="Q64" i="4" s="1"/>
  <c r="F81" i="4"/>
  <c r="F62" i="4"/>
  <c r="F25" i="4"/>
  <c r="F13" i="4"/>
  <c r="F40" i="4"/>
  <c r="F19" i="4"/>
  <c r="F72" i="4"/>
  <c r="AQ17" i="4"/>
  <c r="V60" i="4"/>
  <c r="AC54" i="4"/>
  <c r="AD54" i="4" s="1"/>
  <c r="Z65" i="4"/>
  <c r="Z73" i="4"/>
  <c r="AQ57" i="4"/>
  <c r="AR57" i="4" s="1"/>
  <c r="AA41" i="4"/>
  <c r="AG65" i="4"/>
  <c r="AG73" i="4"/>
  <c r="AB65" i="4"/>
  <c r="AB73" i="4"/>
  <c r="AL73" i="4"/>
  <c r="I73" i="4"/>
  <c r="X65" i="4"/>
  <c r="X73" i="4"/>
  <c r="O46" i="4" l="1"/>
  <c r="AJ65" i="4"/>
  <c r="AC57" i="4"/>
  <c r="AD57" i="4" s="1"/>
  <c r="AQ46" i="4"/>
  <c r="AR46" i="4" s="1"/>
  <c r="O57" i="4"/>
  <c r="Y41" i="4"/>
  <c r="AC46" i="4"/>
  <c r="AD46" i="4" s="1"/>
  <c r="AQ63" i="4"/>
  <c r="AR63" i="4" s="1"/>
  <c r="AF65" i="4"/>
  <c r="G41" i="4"/>
  <c r="J41" i="4"/>
  <c r="AS17" i="4"/>
  <c r="AF41" i="4"/>
  <c r="X41" i="4"/>
  <c r="AG41" i="4"/>
  <c r="AH41" i="4"/>
  <c r="F74" i="4"/>
  <c r="F75" i="4" s="1"/>
  <c r="F41" i="4"/>
  <c r="F67" i="4"/>
  <c r="F69" i="4" s="1"/>
  <c r="AG67" i="4"/>
  <c r="AP41" i="4"/>
  <c r="AG74" i="4"/>
  <c r="AG75" i="4" s="1"/>
  <c r="AP67" i="4"/>
  <c r="AP69" i="4" s="1"/>
  <c r="O64" i="4"/>
  <c r="P64" i="4" s="1"/>
  <c r="AL74" i="4"/>
  <c r="AL75" i="4" s="1"/>
  <c r="AL41" i="4"/>
  <c r="L41" i="4"/>
  <c r="AF67" i="4"/>
  <c r="X74" i="4"/>
  <c r="L67" i="4"/>
  <c r="L69" i="4" s="1"/>
  <c r="AH74" i="4"/>
  <c r="AH75" i="4" s="1"/>
  <c r="J67" i="4"/>
  <c r="J69" i="4" s="1"/>
  <c r="X75" i="4"/>
  <c r="U74" i="4"/>
  <c r="T41" i="4"/>
  <c r="M67" i="4"/>
  <c r="M69" i="4" s="1"/>
  <c r="W41" i="4"/>
  <c r="T67" i="4"/>
  <c r="M74" i="4"/>
  <c r="M75" i="4" s="1"/>
  <c r="U41" i="4"/>
  <c r="Z41" i="4"/>
  <c r="J74" i="4"/>
  <c r="J75" i="4" s="1"/>
  <c r="Z74" i="4"/>
  <c r="Z75" i="4" s="1"/>
  <c r="M41" i="4"/>
  <c r="AC64" i="4"/>
  <c r="AD64" i="4" s="1"/>
  <c r="T74" i="4"/>
  <c r="T75" i="4" s="1"/>
  <c r="U75" i="4"/>
  <c r="N67" i="4"/>
  <c r="N69" i="4" s="1"/>
  <c r="AB67" i="4"/>
  <c r="AB69" i="4" s="1"/>
  <c r="AO41" i="4"/>
  <c r="E41" i="4"/>
  <c r="AA74" i="4"/>
  <c r="AA75" i="4" s="1"/>
  <c r="AP74" i="4"/>
  <c r="AP75" i="4" s="1"/>
  <c r="I41" i="4"/>
  <c r="I74" i="4"/>
  <c r="I75" i="4" s="1"/>
  <c r="AS20" i="4"/>
  <c r="P20" i="4"/>
  <c r="L75" i="4"/>
  <c r="N74" i="4"/>
  <c r="N75" i="4" s="1"/>
  <c r="AB74" i="4"/>
  <c r="AB75" i="4" s="1"/>
  <c r="AF74" i="4"/>
  <c r="AF75" i="4" s="1"/>
  <c r="X69" i="4"/>
  <c r="H74" i="4"/>
  <c r="H75" i="4" s="1"/>
  <c r="H67" i="4"/>
  <c r="H69" i="4" s="1"/>
  <c r="K67" i="4"/>
  <c r="K69" i="4" s="1"/>
  <c r="K74" i="4"/>
  <c r="K75" i="4" s="1"/>
  <c r="K41" i="4"/>
  <c r="U69" i="4"/>
  <c r="AR22" i="4"/>
  <c r="AR23" i="4" s="1"/>
  <c r="AQ23" i="4"/>
  <c r="S74" i="4"/>
  <c r="S75" i="4" s="1"/>
  <c r="S67" i="4"/>
  <c r="S69" i="4" s="1"/>
  <c r="S41" i="4"/>
  <c r="P46" i="4"/>
  <c r="I41" i="7" s="1"/>
  <c r="G41" i="7" s="1"/>
  <c r="AG69" i="4"/>
  <c r="V67" i="4"/>
  <c r="V69" i="4" s="1"/>
  <c r="V96" i="4" s="1"/>
  <c r="V74" i="4"/>
  <c r="V75" i="4" s="1"/>
  <c r="V41" i="4"/>
  <c r="Q65" i="4"/>
  <c r="Q73" i="4"/>
  <c r="AC63" i="4"/>
  <c r="AD63" i="4" s="1"/>
  <c r="Y74" i="4"/>
  <c r="Y75" i="4" s="1"/>
  <c r="Y67" i="4"/>
  <c r="Y69" i="4" s="1"/>
  <c r="G67" i="4"/>
  <c r="G69" i="4" s="1"/>
  <c r="G74" i="4"/>
  <c r="G75" i="4" s="1"/>
  <c r="AE67" i="4"/>
  <c r="AE74" i="4"/>
  <c r="AE75" i="4" s="1"/>
  <c r="T69" i="4"/>
  <c r="AQ73" i="4"/>
  <c r="AR73" i="4" s="1"/>
  <c r="AN74" i="4"/>
  <c r="AN75" i="4" s="1"/>
  <c r="AN67" i="4"/>
  <c r="AN69" i="4" s="1"/>
  <c r="AN41" i="4"/>
  <c r="AR45" i="4"/>
  <c r="AR60" i="4" s="1"/>
  <c r="AH69" i="4"/>
  <c r="O45" i="4"/>
  <c r="C60" i="4"/>
  <c r="C37" i="4" s="1"/>
  <c r="R67" i="4"/>
  <c r="R69" i="4" s="1"/>
  <c r="R74" i="4"/>
  <c r="R75" i="4" s="1"/>
  <c r="R41" i="4"/>
  <c r="H41" i="4"/>
  <c r="AC45" i="4"/>
  <c r="Q60" i="4"/>
  <c r="Q37" i="4" s="1"/>
  <c r="AI67" i="4"/>
  <c r="AI69" i="4" s="1"/>
  <c r="AI74" i="4"/>
  <c r="AI75" i="4" s="1"/>
  <c r="AO74" i="4"/>
  <c r="AO75" i="4" s="1"/>
  <c r="AO67" i="4"/>
  <c r="AO69" i="4" s="1"/>
  <c r="W74" i="4"/>
  <c r="W75" i="4" s="1"/>
  <c r="W67" i="4"/>
  <c r="W69" i="4" s="1"/>
  <c r="AM67" i="4"/>
  <c r="AM69" i="4" s="1"/>
  <c r="AM74" i="4"/>
  <c r="AM75" i="4" s="1"/>
  <c r="P22" i="4"/>
  <c r="AS22" i="4"/>
  <c r="O23" i="4"/>
  <c r="C73" i="4"/>
  <c r="C65" i="4"/>
  <c r="O63" i="4"/>
  <c r="AK74" i="4"/>
  <c r="AK75" i="4" s="1"/>
  <c r="AK67" i="4"/>
  <c r="AK69" i="4" s="1"/>
  <c r="AK41" i="4"/>
  <c r="G81" i="4"/>
  <c r="G62" i="4"/>
  <c r="G72" i="4"/>
  <c r="G25" i="4"/>
  <c r="G40" i="4"/>
  <c r="G13" i="4"/>
  <c r="G19" i="4"/>
  <c r="I69" i="4"/>
  <c r="Z69" i="4"/>
  <c r="D44" i="7"/>
  <c r="D52" i="7"/>
  <c r="D48" i="7"/>
  <c r="D43" i="7"/>
  <c r="D54" i="7"/>
  <c r="D47" i="7"/>
  <c r="D51" i="7"/>
  <c r="D46" i="7"/>
  <c r="D45" i="7"/>
  <c r="D49" i="7"/>
  <c r="D50" i="7"/>
  <c r="AL69" i="4"/>
  <c r="AJ74" i="4"/>
  <c r="AJ75" i="4" s="1"/>
  <c r="AJ67" i="4"/>
  <c r="AJ69" i="4" s="1"/>
  <c r="AJ41" i="4"/>
  <c r="AD22" i="4"/>
  <c r="AD23" i="4" s="1"/>
  <c r="AC23" i="4"/>
  <c r="E74" i="4"/>
  <c r="E75" i="4" s="1"/>
  <c r="E67" i="4"/>
  <c r="E69" i="4" s="1"/>
  <c r="AS54" i="4"/>
  <c r="P54" i="4"/>
  <c r="AA69" i="4"/>
  <c r="AE64" i="4"/>
  <c r="AE41" i="4"/>
  <c r="P57" i="4"/>
  <c r="I53" i="7" s="1"/>
  <c r="G53" i="7" s="1"/>
  <c r="AS57" i="4"/>
  <c r="D67" i="4"/>
  <c r="D69" i="4" s="1"/>
  <c r="D74" i="4"/>
  <c r="D75" i="4" s="1"/>
  <c r="D41" i="4"/>
  <c r="I3" i="4"/>
  <c r="H6" i="4"/>
  <c r="AQ60" i="4" l="1"/>
  <c r="AS46" i="4"/>
  <c r="AF69" i="4"/>
  <c r="C41" i="4"/>
  <c r="C42" i="4" s="1"/>
  <c r="C43" i="4" s="1"/>
  <c r="C38" i="4"/>
  <c r="AS23" i="4"/>
  <c r="AI96" i="4"/>
  <c r="AH96" i="4"/>
  <c r="AA96" i="4"/>
  <c r="T96" i="4"/>
  <c r="Y96" i="4"/>
  <c r="P23" i="4"/>
  <c r="I42" i="7" s="1"/>
  <c r="D42" i="7" s="1"/>
  <c r="AM96" i="4"/>
  <c r="G96" i="4"/>
  <c r="H96" i="4"/>
  <c r="L96" i="4"/>
  <c r="W96" i="4"/>
  <c r="J96" i="4"/>
  <c r="AJ96" i="4"/>
  <c r="AN96" i="4"/>
  <c r="E96" i="4"/>
  <c r="AO96" i="4"/>
  <c r="AQ75" i="4"/>
  <c r="AR75" i="4" s="1"/>
  <c r="AQ64" i="4"/>
  <c r="AE65" i="4"/>
  <c r="Q74" i="4"/>
  <c r="AC74" i="4" s="1"/>
  <c r="AD74" i="4" s="1"/>
  <c r="Q67" i="4"/>
  <c r="AC67" i="4" s="1"/>
  <c r="AD67" i="4" s="1"/>
  <c r="Q41" i="4"/>
  <c r="F96" i="4"/>
  <c r="AK96" i="4"/>
  <c r="J3" i="4"/>
  <c r="I6" i="4"/>
  <c r="M96" i="4"/>
  <c r="N96" i="4"/>
  <c r="O73" i="4"/>
  <c r="AC60" i="4"/>
  <c r="AD45" i="4"/>
  <c r="AD60" i="4" s="1"/>
  <c r="S96" i="4"/>
  <c r="H13" i="4"/>
  <c r="H19" i="4"/>
  <c r="H25" i="4"/>
  <c r="H81" i="4"/>
  <c r="H62" i="4"/>
  <c r="H40" i="4"/>
  <c r="H72" i="4"/>
  <c r="O65" i="4"/>
  <c r="P45" i="4"/>
  <c r="O60" i="4"/>
  <c r="AS45" i="4"/>
  <c r="AS60" i="4" s="1"/>
  <c r="AQ67" i="4"/>
  <c r="AR67" i="4" s="1"/>
  <c r="AP96" i="4"/>
  <c r="AB96" i="4"/>
  <c r="AC73" i="4"/>
  <c r="AD73" i="4" s="1"/>
  <c r="AL96" i="4"/>
  <c r="Z96" i="4"/>
  <c r="I96" i="4"/>
  <c r="AS63" i="4"/>
  <c r="P63" i="4"/>
  <c r="K96" i="4"/>
  <c r="C74" i="4"/>
  <c r="O74" i="4" s="1"/>
  <c r="C67" i="4"/>
  <c r="O67" i="4" s="1"/>
  <c r="AQ74" i="4"/>
  <c r="AR74" i="4" s="1"/>
  <c r="AC65" i="4"/>
  <c r="AD65" i="4" s="1"/>
  <c r="AG96" i="4"/>
  <c r="U96" i="4"/>
  <c r="X96" i="4"/>
  <c r="C66" i="4" l="1"/>
  <c r="C76" i="4"/>
  <c r="C77" i="4"/>
  <c r="D42" i="4"/>
  <c r="D37" i="4"/>
  <c r="D43" i="4" s="1"/>
  <c r="Q75" i="4"/>
  <c r="G42" i="7"/>
  <c r="C68" i="4"/>
  <c r="C70" i="4" s="1"/>
  <c r="C95" i="4" s="1"/>
  <c r="Q69" i="4"/>
  <c r="AC69" i="4" s="1"/>
  <c r="AD69" i="4" s="1"/>
  <c r="G60" i="7" s="1"/>
  <c r="D60" i="7" s="1"/>
  <c r="I40" i="4"/>
  <c r="I13" i="4"/>
  <c r="I25" i="4"/>
  <c r="I62" i="4"/>
  <c r="I19" i="4"/>
  <c r="I81" i="4"/>
  <c r="I72" i="4"/>
  <c r="J6" i="4"/>
  <c r="K3" i="4"/>
  <c r="P74" i="4"/>
  <c r="AS74" i="4"/>
  <c r="AC75" i="4"/>
  <c r="AD75" i="4" s="1"/>
  <c r="P65" i="4"/>
  <c r="C75" i="4"/>
  <c r="C85" i="4" s="1"/>
  <c r="AE69" i="4"/>
  <c r="AQ65" i="4"/>
  <c r="AR65" i="4" s="1"/>
  <c r="D33" i="4"/>
  <c r="I40" i="7"/>
  <c r="P60" i="4"/>
  <c r="P67" i="4"/>
  <c r="AS67" i="4"/>
  <c r="C69" i="4"/>
  <c r="P73" i="4"/>
  <c r="AS73" i="4"/>
  <c r="AR64" i="4"/>
  <c r="AS64" i="4"/>
  <c r="C87" i="4" l="1"/>
  <c r="C88" i="4" s="1"/>
  <c r="C86" i="4"/>
  <c r="E42" i="4"/>
  <c r="E37" i="4"/>
  <c r="E43" i="4" s="1"/>
  <c r="R96" i="4"/>
  <c r="Q96" i="4"/>
  <c r="D38" i="4"/>
  <c r="C79" i="4"/>
  <c r="D78" i="4" s="1"/>
  <c r="O75" i="4"/>
  <c r="E33" i="4"/>
  <c r="E38" i="4" s="1"/>
  <c r="AE96" i="4"/>
  <c r="AQ69" i="4"/>
  <c r="AR69" i="4" s="1"/>
  <c r="G62" i="7" s="1"/>
  <c r="D62" i="7" s="1"/>
  <c r="AF96" i="4"/>
  <c r="AS65" i="4"/>
  <c r="J81" i="4"/>
  <c r="J19" i="4"/>
  <c r="J62" i="4"/>
  <c r="J72" i="4"/>
  <c r="J40" i="4"/>
  <c r="J13" i="4"/>
  <c r="J25" i="4"/>
  <c r="O69" i="4"/>
  <c r="P69" i="4" s="1"/>
  <c r="G58" i="7" s="1"/>
  <c r="D58" i="7" s="1"/>
  <c r="C96" i="4"/>
  <c r="D96" i="4"/>
  <c r="G40" i="7"/>
  <c r="G55" i="7" s="1"/>
  <c r="D40" i="7"/>
  <c r="D55" i="7" s="1"/>
  <c r="I55" i="7"/>
  <c r="L3" i="4"/>
  <c r="K6" i="4"/>
  <c r="E76" i="4" l="1"/>
  <c r="E66" i="4"/>
  <c r="D66" i="4"/>
  <c r="D76" i="4"/>
  <c r="F42" i="4"/>
  <c r="F37" i="4"/>
  <c r="F43" i="4" s="1"/>
  <c r="K40" i="4"/>
  <c r="K72" i="4"/>
  <c r="K81" i="4"/>
  <c r="K13" i="4"/>
  <c r="K19" i="4"/>
  <c r="K62" i="4"/>
  <c r="K25" i="4"/>
  <c r="F33" i="4"/>
  <c r="F38" i="4" s="1"/>
  <c r="AS96" i="4"/>
  <c r="AS98" i="4" s="1"/>
  <c r="B93" i="4" s="1"/>
  <c r="D64" i="7" s="1"/>
  <c r="L6" i="4"/>
  <c r="M3" i="4"/>
  <c r="E68" i="4"/>
  <c r="AS75" i="4"/>
  <c r="P75" i="4"/>
  <c r="F76" i="4" l="1"/>
  <c r="F66" i="4"/>
  <c r="G42" i="4"/>
  <c r="G37" i="4"/>
  <c r="G43" i="4" s="1"/>
  <c r="D68" i="4"/>
  <c r="L13" i="4"/>
  <c r="L19" i="4"/>
  <c r="L81" i="4"/>
  <c r="L25" i="4"/>
  <c r="L62" i="4"/>
  <c r="L72" i="4"/>
  <c r="L40" i="4"/>
  <c r="D77" i="4"/>
  <c r="D85" i="4" s="1"/>
  <c r="F68" i="4"/>
  <c r="E77" i="4"/>
  <c r="E85" i="4" s="1"/>
  <c r="E87" i="4" s="1"/>
  <c r="N3" i="4"/>
  <c r="M6" i="4"/>
  <c r="G33" i="4"/>
  <c r="G38" i="4" l="1"/>
  <c r="D87" i="4"/>
  <c r="D88" i="4" s="1"/>
  <c r="E88" i="4" s="1"/>
  <c r="D86" i="4"/>
  <c r="E86" i="4" s="1"/>
  <c r="H42" i="4"/>
  <c r="H37" i="4"/>
  <c r="Q3" i="4"/>
  <c r="N6" i="4"/>
  <c r="H33" i="4"/>
  <c r="H43" i="4"/>
  <c r="F77" i="4"/>
  <c r="F85" i="4" s="1"/>
  <c r="F87" i="4" s="1"/>
  <c r="D70" i="4"/>
  <c r="M13" i="4"/>
  <c r="M19" i="4"/>
  <c r="M40" i="4"/>
  <c r="M25" i="4"/>
  <c r="M81" i="4"/>
  <c r="M72" i="4"/>
  <c r="M62" i="4"/>
  <c r="D79" i="4"/>
  <c r="E78" i="4" s="1"/>
  <c r="E79" i="4" s="1"/>
  <c r="F78" i="4" s="1"/>
  <c r="G66" i="4" l="1"/>
  <c r="G68" i="4" s="1"/>
  <c r="G76" i="4"/>
  <c r="F79" i="4"/>
  <c r="G78" i="4" s="1"/>
  <c r="H38" i="4"/>
  <c r="F86" i="4"/>
  <c r="F88" i="4"/>
  <c r="I42" i="4"/>
  <c r="I37" i="4"/>
  <c r="I43" i="4" s="1"/>
  <c r="I33" i="4"/>
  <c r="I38" i="4" s="1"/>
  <c r="D95" i="4"/>
  <c r="E70" i="4"/>
  <c r="N13" i="4"/>
  <c r="N40" i="4"/>
  <c r="N19" i="4"/>
  <c r="N25" i="4"/>
  <c r="N72" i="4"/>
  <c r="N81" i="4"/>
  <c r="N62" i="4"/>
  <c r="G77" i="4"/>
  <c r="G79" i="4" s="1"/>
  <c r="H78" i="4" s="1"/>
  <c r="R3" i="4"/>
  <c r="Q6" i="4"/>
  <c r="H66" i="4" l="1"/>
  <c r="H68" i="4" s="1"/>
  <c r="H76" i="4"/>
  <c r="H77" i="4" s="1"/>
  <c r="H79" i="4" s="1"/>
  <c r="I78" i="4" s="1"/>
  <c r="I76" i="4"/>
  <c r="I66" i="4"/>
  <c r="G85" i="4"/>
  <c r="G87" i="4" s="1"/>
  <c r="G88" i="4" s="1"/>
  <c r="J42" i="4"/>
  <c r="J37" i="4"/>
  <c r="J43" i="4" s="1"/>
  <c r="J33" i="4"/>
  <c r="J38" i="4" s="1"/>
  <c r="Q72" i="4"/>
  <c r="Q19" i="4"/>
  <c r="Q13" i="4"/>
  <c r="Q40" i="4"/>
  <c r="Q25" i="4"/>
  <c r="Q81" i="4"/>
  <c r="Q62" i="4"/>
  <c r="I68" i="4"/>
  <c r="E95" i="4"/>
  <c r="F70" i="4"/>
  <c r="S3" i="4"/>
  <c r="R6" i="4"/>
  <c r="J76" i="4" l="1"/>
  <c r="J66" i="4"/>
  <c r="G86" i="4"/>
  <c r="H85" i="4"/>
  <c r="H87" i="4" s="1"/>
  <c r="H88" i="4" s="1"/>
  <c r="K42" i="4"/>
  <c r="K37" i="4"/>
  <c r="F95" i="4"/>
  <c r="G70" i="4"/>
  <c r="K33" i="4"/>
  <c r="K43" i="4"/>
  <c r="J68" i="4"/>
  <c r="R81" i="4"/>
  <c r="R72" i="4"/>
  <c r="R13" i="4"/>
  <c r="R62" i="4"/>
  <c r="R25" i="4"/>
  <c r="R40" i="4"/>
  <c r="R19" i="4"/>
  <c r="S6" i="4"/>
  <c r="T3" i="4"/>
  <c r="I77" i="4"/>
  <c r="I79" i="4" s="1"/>
  <c r="J78" i="4" s="1"/>
  <c r="I85" i="4" l="1"/>
  <c r="I87" i="4" s="1"/>
  <c r="I88" i="4" s="1"/>
  <c r="H86" i="4"/>
  <c r="I86" i="4" s="1"/>
  <c r="K38" i="4"/>
  <c r="L42" i="4"/>
  <c r="L37" i="4"/>
  <c r="G95" i="4"/>
  <c r="H70" i="4"/>
  <c r="U3" i="4"/>
  <c r="T6" i="4"/>
  <c r="J77" i="4"/>
  <c r="J79" i="4" s="1"/>
  <c r="K78" i="4" s="1"/>
  <c r="S72" i="4"/>
  <c r="S40" i="4"/>
  <c r="S25" i="4"/>
  <c r="S19" i="4"/>
  <c r="S13" i="4"/>
  <c r="S62" i="4"/>
  <c r="S81" i="4"/>
  <c r="L33" i="4"/>
  <c r="L38" i="4" s="1"/>
  <c r="L43" i="4"/>
  <c r="L66" i="4" l="1"/>
  <c r="L76" i="4"/>
  <c r="K66" i="4"/>
  <c r="K68" i="4" s="1"/>
  <c r="K76" i="4"/>
  <c r="K77" i="4" s="1"/>
  <c r="K79" i="4" s="1"/>
  <c r="L78" i="4" s="1"/>
  <c r="J85" i="4"/>
  <c r="J87" i="4" s="1"/>
  <c r="J88" i="4" s="1"/>
  <c r="M42" i="4"/>
  <c r="M37" i="4"/>
  <c r="T72" i="4"/>
  <c r="T40" i="4"/>
  <c r="T62" i="4"/>
  <c r="T19" i="4"/>
  <c r="T25" i="4"/>
  <c r="T13" i="4"/>
  <c r="T81" i="4"/>
  <c r="M33" i="4"/>
  <c r="M38" i="4" s="1"/>
  <c r="M43" i="4"/>
  <c r="V3" i="4"/>
  <c r="U6" i="4"/>
  <c r="L68" i="4"/>
  <c r="H95" i="4"/>
  <c r="I70" i="4"/>
  <c r="M76" i="4" l="1"/>
  <c r="M66" i="4"/>
  <c r="K85" i="4"/>
  <c r="K87" i="4" s="1"/>
  <c r="K88" i="4" s="1"/>
  <c r="J86" i="4"/>
  <c r="K86" i="4" s="1"/>
  <c r="N42" i="4"/>
  <c r="Q42" i="4" s="1"/>
  <c r="N37" i="4"/>
  <c r="O37" i="4" s="1"/>
  <c r="L77" i="4"/>
  <c r="L79" i="4" s="1"/>
  <c r="M78" i="4" s="1"/>
  <c r="U72" i="4"/>
  <c r="U40" i="4"/>
  <c r="U62" i="4"/>
  <c r="U13" i="4"/>
  <c r="U19" i="4"/>
  <c r="U25" i="4"/>
  <c r="U81" i="4"/>
  <c r="M68" i="4"/>
  <c r="I95" i="4"/>
  <c r="J70" i="4"/>
  <c r="W3" i="4"/>
  <c r="V6" i="4"/>
  <c r="N33" i="4"/>
  <c r="N43" i="4" l="1"/>
  <c r="L85" i="4"/>
  <c r="L87" i="4" s="1"/>
  <c r="L88" i="4" s="1"/>
  <c r="R42" i="4"/>
  <c r="R37" i="4"/>
  <c r="V81" i="4"/>
  <c r="V19" i="4"/>
  <c r="V40" i="4"/>
  <c r="V13" i="4"/>
  <c r="V62" i="4"/>
  <c r="V72" i="4"/>
  <c r="V25" i="4"/>
  <c r="Q33" i="4"/>
  <c r="Q43" i="4"/>
  <c r="W6" i="4"/>
  <c r="X3" i="4"/>
  <c r="M77" i="4"/>
  <c r="M79" i="4" s="1"/>
  <c r="N78" i="4" s="1"/>
  <c r="J95" i="4"/>
  <c r="K70" i="4"/>
  <c r="N38" i="4"/>
  <c r="O33" i="4"/>
  <c r="N76" i="4" l="1"/>
  <c r="N66" i="4"/>
  <c r="M85" i="4"/>
  <c r="M87" i="4" s="1"/>
  <c r="M88" i="4" s="1"/>
  <c r="L86" i="4"/>
  <c r="M86" i="4" s="1"/>
  <c r="S42" i="4"/>
  <c r="S37" i="4"/>
  <c r="K95" i="4"/>
  <c r="L70" i="4"/>
  <c r="X6" i="4"/>
  <c r="Y3" i="4"/>
  <c r="Q38" i="4"/>
  <c r="O38" i="4"/>
  <c r="W13" i="4"/>
  <c r="W19" i="4"/>
  <c r="W72" i="4"/>
  <c r="W62" i="4"/>
  <c r="W25" i="4"/>
  <c r="W40" i="4"/>
  <c r="W81" i="4"/>
  <c r="R33" i="4"/>
  <c r="R38" i="4" s="1"/>
  <c r="R43" i="4"/>
  <c r="R66" i="4" l="1"/>
  <c r="R76" i="4"/>
  <c r="Q66" i="4"/>
  <c r="Q76" i="4"/>
  <c r="T42" i="4"/>
  <c r="T37" i="4"/>
  <c r="S33" i="4"/>
  <c r="S38" i="4" s="1"/>
  <c r="S43" i="4"/>
  <c r="R68" i="4"/>
  <c r="X13" i="4"/>
  <c r="X81" i="4"/>
  <c r="X25" i="4"/>
  <c r="X62" i="4"/>
  <c r="X40" i="4"/>
  <c r="X72" i="4"/>
  <c r="X19" i="4"/>
  <c r="Z3" i="4"/>
  <c r="Y6" i="4"/>
  <c r="N68" i="4"/>
  <c r="O66" i="4"/>
  <c r="L95" i="4"/>
  <c r="M70" i="4"/>
  <c r="M95" i="4" s="1"/>
  <c r="N77" i="4"/>
  <c r="O77" i="4" s="1"/>
  <c r="O76" i="4"/>
  <c r="S76" i="4" l="1"/>
  <c r="S66" i="4"/>
  <c r="N85" i="4"/>
  <c r="U42" i="4"/>
  <c r="U37" i="4"/>
  <c r="N70" i="4"/>
  <c r="O68" i="4"/>
  <c r="R77" i="4"/>
  <c r="R85" i="4" s="1"/>
  <c r="R87" i="4" s="1"/>
  <c r="Q77" i="4"/>
  <c r="Q85" i="4" s="1"/>
  <c r="Q87" i="4" s="1"/>
  <c r="N79" i="4"/>
  <c r="Y25" i="4"/>
  <c r="Y72" i="4"/>
  <c r="Y13" i="4"/>
  <c r="Y81" i="4"/>
  <c r="Y40" i="4"/>
  <c r="Y19" i="4"/>
  <c r="Y62" i="4"/>
  <c r="T33" i="4"/>
  <c r="T43" i="4"/>
  <c r="Q68" i="4"/>
  <c r="AA3" i="4"/>
  <c r="Z6" i="4"/>
  <c r="S68" i="4"/>
  <c r="N87" i="4" l="1"/>
  <c r="N88" i="4" s="1"/>
  <c r="Q88" i="4" s="1"/>
  <c r="R88" i="4" s="1"/>
  <c r="N86" i="4"/>
  <c r="Q86" i="4" s="1"/>
  <c r="R86" i="4" s="1"/>
  <c r="V42" i="4"/>
  <c r="V37" i="4"/>
  <c r="P68" i="4"/>
  <c r="Q70" i="4"/>
  <c r="N95" i="4"/>
  <c r="O70" i="4"/>
  <c r="T38" i="4"/>
  <c r="Z62" i="4"/>
  <c r="Z25" i="4"/>
  <c r="Z81" i="4"/>
  <c r="Z19" i="4"/>
  <c r="Z40" i="4"/>
  <c r="Z13" i="4"/>
  <c r="Z72" i="4"/>
  <c r="Q78" i="4"/>
  <c r="AC78" i="4" s="1"/>
  <c r="O79" i="4"/>
  <c r="S77" i="4"/>
  <c r="S85" i="4" s="1"/>
  <c r="S87" i="4" s="1"/>
  <c r="AB3" i="4"/>
  <c r="AA6" i="4"/>
  <c r="U33" i="4"/>
  <c r="U38" i="4" s="1"/>
  <c r="U43" i="4"/>
  <c r="U66" i="4" l="1"/>
  <c r="U76" i="4"/>
  <c r="T76" i="4"/>
  <c r="T66" i="4"/>
  <c r="S86" i="4"/>
  <c r="S88" i="4"/>
  <c r="W42" i="4"/>
  <c r="W37" i="4"/>
  <c r="Q79" i="4"/>
  <c r="R78" i="4" s="1"/>
  <c r="R79" i="4" s="1"/>
  <c r="S78" i="4" s="1"/>
  <c r="S79" i="4" s="1"/>
  <c r="T78" i="4" s="1"/>
  <c r="Q95" i="4"/>
  <c r="R70" i="4"/>
  <c r="V33" i="4"/>
  <c r="V38" i="4" s="1"/>
  <c r="V43" i="4"/>
  <c r="AB6" i="4"/>
  <c r="AE3" i="4"/>
  <c r="U68" i="4"/>
  <c r="AA13" i="4"/>
  <c r="AA19" i="4"/>
  <c r="AA81" i="4"/>
  <c r="AA72" i="4"/>
  <c r="AA25" i="4"/>
  <c r="AA62" i="4"/>
  <c r="AA40" i="4"/>
  <c r="V66" i="4" l="1"/>
  <c r="V76" i="4"/>
  <c r="X42" i="4"/>
  <c r="X37" i="4"/>
  <c r="V68" i="4"/>
  <c r="AF3" i="4"/>
  <c r="AE6" i="4"/>
  <c r="R95" i="4"/>
  <c r="S70" i="4"/>
  <c r="S95" i="4" s="1"/>
  <c r="U77" i="4"/>
  <c r="U85" i="4" s="1"/>
  <c r="U87" i="4" s="1"/>
  <c r="AB81" i="4"/>
  <c r="AB19" i="4"/>
  <c r="AB62" i="4"/>
  <c r="AB40" i="4"/>
  <c r="AB25" i="4"/>
  <c r="AB72" i="4"/>
  <c r="AB13" i="4"/>
  <c r="T68" i="4"/>
  <c r="T77" i="4"/>
  <c r="T79" i="4" s="1"/>
  <c r="U78" i="4" s="1"/>
  <c r="W33" i="4"/>
  <c r="W43" i="4"/>
  <c r="T85" i="4" l="1"/>
  <c r="Y42" i="4"/>
  <c r="Y37" i="4"/>
  <c r="U79" i="4"/>
  <c r="V78" i="4" s="1"/>
  <c r="AG3" i="4"/>
  <c r="AF6" i="4"/>
  <c r="X33" i="4"/>
  <c r="X38" i="4" s="1"/>
  <c r="X43" i="4"/>
  <c r="W38" i="4"/>
  <c r="V77" i="4"/>
  <c r="V85" i="4" s="1"/>
  <c r="V87" i="4" s="1"/>
  <c r="T70" i="4"/>
  <c r="AE25" i="4"/>
  <c r="AE40" i="4"/>
  <c r="AE62" i="4"/>
  <c r="AE72" i="4"/>
  <c r="AE19" i="4"/>
  <c r="AE81" i="4"/>
  <c r="AE13" i="4"/>
  <c r="X76" i="4" l="1"/>
  <c r="X66" i="4"/>
  <c r="W76" i="4"/>
  <c r="W66" i="4"/>
  <c r="T87" i="4"/>
  <c r="T88" i="4" s="1"/>
  <c r="U88" i="4" s="1"/>
  <c r="V88" i="4" s="1"/>
  <c r="T86" i="4"/>
  <c r="U86" i="4" s="1"/>
  <c r="V86" i="4" s="1"/>
  <c r="Z42" i="4"/>
  <c r="Z37" i="4"/>
  <c r="V79" i="4"/>
  <c r="W78" i="4" s="1"/>
  <c r="T95" i="4"/>
  <c r="U70" i="4"/>
  <c r="Y33" i="4"/>
  <c r="Y38" i="4" s="1"/>
  <c r="Y43" i="4"/>
  <c r="AF72" i="4"/>
  <c r="AF13" i="4"/>
  <c r="AF25" i="4"/>
  <c r="AF81" i="4"/>
  <c r="AF19" i="4"/>
  <c r="AF40" i="4"/>
  <c r="AF62" i="4"/>
  <c r="X68" i="4"/>
  <c r="AH3" i="4"/>
  <c r="AG6" i="4"/>
  <c r="Y66" i="4" l="1"/>
  <c r="Y76" i="4"/>
  <c r="AA42" i="4"/>
  <c r="AA37" i="4"/>
  <c r="Z33" i="4"/>
  <c r="Z38" i="4" s="1"/>
  <c r="Z43" i="4"/>
  <c r="U95" i="4"/>
  <c r="V70" i="4"/>
  <c r="V95" i="4" s="1"/>
  <c r="X77" i="4"/>
  <c r="X85" i="4" s="1"/>
  <c r="X87" i="4" s="1"/>
  <c r="AG81" i="4"/>
  <c r="AG40" i="4"/>
  <c r="AG13" i="4"/>
  <c r="AG72" i="4"/>
  <c r="AG62" i="4"/>
  <c r="AG25" i="4"/>
  <c r="AG19" i="4"/>
  <c r="Y68" i="4"/>
  <c r="W77" i="4"/>
  <c r="W79" i="4" s="1"/>
  <c r="X78" i="4" s="1"/>
  <c r="AH6" i="4"/>
  <c r="AI3" i="4"/>
  <c r="W68" i="4"/>
  <c r="Z66" i="4" l="1"/>
  <c r="Z76" i="4"/>
  <c r="W85" i="4"/>
  <c r="AB42" i="4"/>
  <c r="AE42" i="4" s="1"/>
  <c r="AB37" i="4"/>
  <c r="AC37" i="4" s="1"/>
  <c r="X79" i="4"/>
  <c r="Y78" i="4" s="1"/>
  <c r="AH72" i="4"/>
  <c r="AH81" i="4"/>
  <c r="AH62" i="4"/>
  <c r="AH40" i="4"/>
  <c r="AH13" i="4"/>
  <c r="AH19" i="4"/>
  <c r="AH25" i="4"/>
  <c r="Y77" i="4"/>
  <c r="Y85" i="4" s="1"/>
  <c r="Y87" i="4" s="1"/>
  <c r="AA33" i="4"/>
  <c r="AA38" i="4" s="1"/>
  <c r="AA43" i="4"/>
  <c r="W70" i="4"/>
  <c r="Z68" i="4"/>
  <c r="AJ3" i="4"/>
  <c r="AI6" i="4"/>
  <c r="AA76" i="4" l="1"/>
  <c r="AA66" i="4"/>
  <c r="AA68" i="4" s="1"/>
  <c r="W87" i="4"/>
  <c r="W88" i="4" s="1"/>
  <c r="X88" i="4" s="1"/>
  <c r="Y88" i="4" s="1"/>
  <c r="W86" i="4"/>
  <c r="X86" i="4" s="1"/>
  <c r="Y86" i="4" s="1"/>
  <c r="AF42" i="4"/>
  <c r="AF37" i="4"/>
  <c r="Y79" i="4"/>
  <c r="Z78" i="4" s="1"/>
  <c r="Z77" i="4"/>
  <c r="Z85" i="4" s="1"/>
  <c r="Z87" i="4" s="1"/>
  <c r="AB33" i="4"/>
  <c r="AB43" i="4"/>
  <c r="AJ6" i="4"/>
  <c r="AK3" i="4"/>
  <c r="W95" i="4"/>
  <c r="X70" i="4"/>
  <c r="AI19" i="4"/>
  <c r="AI62" i="4"/>
  <c r="AI13" i="4"/>
  <c r="AI25" i="4"/>
  <c r="AI81" i="4"/>
  <c r="AI40" i="4"/>
  <c r="AI72" i="4"/>
  <c r="Z86" i="4" l="1"/>
  <c r="Z88" i="4"/>
  <c r="AG42" i="4"/>
  <c r="AG37" i="4"/>
  <c r="Z79" i="4"/>
  <c r="AA78" i="4" s="1"/>
  <c r="X95" i="4"/>
  <c r="Y70" i="4"/>
  <c r="AK6" i="4"/>
  <c r="AL3" i="4"/>
  <c r="AA77" i="4"/>
  <c r="AA85" i="4" s="1"/>
  <c r="AA87" i="4" s="1"/>
  <c r="AJ62" i="4"/>
  <c r="AJ81" i="4"/>
  <c r="AJ72" i="4"/>
  <c r="AJ40" i="4"/>
  <c r="AJ19" i="4"/>
  <c r="AJ13" i="4"/>
  <c r="AJ25" i="4"/>
  <c r="AB38" i="4"/>
  <c r="AC33" i="4"/>
  <c r="AE33" i="4"/>
  <c r="AE43" i="4"/>
  <c r="AB76" i="4" l="1"/>
  <c r="AB66" i="4"/>
  <c r="AA88" i="4"/>
  <c r="AA86" i="4"/>
  <c r="AH42" i="4"/>
  <c r="AH37" i="4"/>
  <c r="AA79" i="4"/>
  <c r="AB78" i="4" s="1"/>
  <c r="AF33" i="4"/>
  <c r="AF38" i="4" s="1"/>
  <c r="AF43" i="4"/>
  <c r="AE38" i="4"/>
  <c r="Y95" i="4"/>
  <c r="Z70" i="4"/>
  <c r="AM3" i="4"/>
  <c r="AL6" i="4"/>
  <c r="AC38" i="4"/>
  <c r="AK40" i="4"/>
  <c r="AK13" i="4"/>
  <c r="AK62" i="4"/>
  <c r="AK19" i="4"/>
  <c r="AK81" i="4"/>
  <c r="AK72" i="4"/>
  <c r="AK25" i="4"/>
  <c r="AF66" i="4" l="1"/>
  <c r="AF76" i="4"/>
  <c r="AE66" i="4"/>
  <c r="AE76" i="4"/>
  <c r="AI42" i="4"/>
  <c r="AI37" i="4"/>
  <c r="AB77" i="4"/>
  <c r="AC77" i="4" s="1"/>
  <c r="AC76" i="4"/>
  <c r="AB68" i="4"/>
  <c r="AC66" i="4"/>
  <c r="Z95" i="4"/>
  <c r="AA70" i="4"/>
  <c r="AA95" i="4" s="1"/>
  <c r="AL40" i="4"/>
  <c r="AL81" i="4"/>
  <c r="AL13" i="4"/>
  <c r="AL25" i="4"/>
  <c r="AL19" i="4"/>
  <c r="AL72" i="4"/>
  <c r="AL62" i="4"/>
  <c r="AG33" i="4"/>
  <c r="AG43" i="4"/>
  <c r="AN3" i="4"/>
  <c r="AM6" i="4"/>
  <c r="AF68" i="4"/>
  <c r="AB85" i="4" l="1"/>
  <c r="AJ42" i="4"/>
  <c r="AJ37" i="4"/>
  <c r="AB79" i="4"/>
  <c r="AE78" i="4" s="1"/>
  <c r="AQ78" i="4" s="1"/>
  <c r="AF77" i="4"/>
  <c r="AF85" i="4" s="1"/>
  <c r="AF87" i="4" s="1"/>
  <c r="AG38" i="4"/>
  <c r="AH33" i="4"/>
  <c r="AH38" i="4" s="1"/>
  <c r="AH43" i="4"/>
  <c r="AM81" i="4"/>
  <c r="AM40" i="4"/>
  <c r="AM13" i="4"/>
  <c r="AM62" i="4"/>
  <c r="AM72" i="4"/>
  <c r="AM25" i="4"/>
  <c r="AM19" i="4"/>
  <c r="AE68" i="4"/>
  <c r="AB70" i="4"/>
  <c r="AC68" i="4"/>
  <c r="AO3" i="4"/>
  <c r="AN6" i="4"/>
  <c r="AE77" i="4"/>
  <c r="AE85" i="4" s="1"/>
  <c r="AE87" i="4" s="1"/>
  <c r="AH76" i="4" l="1"/>
  <c r="AH66" i="4"/>
  <c r="AG76" i="4"/>
  <c r="AG66" i="4"/>
  <c r="AB87" i="4"/>
  <c r="AB88" i="4" s="1"/>
  <c r="AE88" i="4" s="1"/>
  <c r="AF88" i="4" s="1"/>
  <c r="AB86" i="4"/>
  <c r="AE86" i="4" s="1"/>
  <c r="AF86" i="4" s="1"/>
  <c r="AK42" i="4"/>
  <c r="AK37" i="4"/>
  <c r="AC79" i="4"/>
  <c r="AE79" i="4"/>
  <c r="AF78" i="4" s="1"/>
  <c r="AF79" i="4" s="1"/>
  <c r="AG78" i="4" s="1"/>
  <c r="AO6" i="4"/>
  <c r="AP3" i="4"/>
  <c r="AP6" i="4" s="1"/>
  <c r="AI33" i="4"/>
  <c r="AI38" i="4" s="1"/>
  <c r="AI43" i="4"/>
  <c r="AE70" i="4"/>
  <c r="AD68" i="4"/>
  <c r="AH68" i="4"/>
  <c r="AN72" i="4"/>
  <c r="AN25" i="4"/>
  <c r="AN19" i="4"/>
  <c r="AN40" i="4"/>
  <c r="AN81" i="4"/>
  <c r="AN13" i="4"/>
  <c r="AN62" i="4"/>
  <c r="AB95" i="4"/>
  <c r="AC70" i="4"/>
  <c r="AI66" i="4" l="1"/>
  <c r="AI76" i="4"/>
  <c r="AL42" i="4"/>
  <c r="AL37" i="4"/>
  <c r="AJ33" i="4"/>
  <c r="AJ43" i="4"/>
  <c r="AG77" i="4"/>
  <c r="AG79" i="4" s="1"/>
  <c r="AH78" i="4" s="1"/>
  <c r="AH77" i="4"/>
  <c r="AH85" i="4" s="1"/>
  <c r="AH87" i="4" s="1"/>
  <c r="AI68" i="4"/>
  <c r="AP19" i="4"/>
  <c r="AP81" i="4"/>
  <c r="AP72" i="4"/>
  <c r="AP62" i="4"/>
  <c r="AP40" i="4"/>
  <c r="AP25" i="4"/>
  <c r="AP13" i="4"/>
  <c r="AG68" i="4"/>
  <c r="AE95" i="4"/>
  <c r="AF70" i="4"/>
  <c r="AF95" i="4" s="1"/>
  <c r="AO40" i="4"/>
  <c r="AO72" i="4"/>
  <c r="AO62" i="4"/>
  <c r="AO19" i="4"/>
  <c r="AO25" i="4"/>
  <c r="AO13" i="4"/>
  <c r="AO81" i="4"/>
  <c r="AG85" i="4" l="1"/>
  <c r="AM42" i="4"/>
  <c r="AM37" i="4"/>
  <c r="AH79" i="4"/>
  <c r="AI78" i="4" s="1"/>
  <c r="AI77" i="4"/>
  <c r="AI85" i="4" s="1"/>
  <c r="AI87" i="4" s="1"/>
  <c r="AG70" i="4"/>
  <c r="AK33" i="4"/>
  <c r="AK38" i="4" s="1"/>
  <c r="AK43" i="4"/>
  <c r="AJ38" i="4"/>
  <c r="AK76" i="4" l="1"/>
  <c r="AK66" i="4"/>
  <c r="AJ66" i="4"/>
  <c r="AJ76" i="4"/>
  <c r="AG87" i="4"/>
  <c r="AG88" i="4" s="1"/>
  <c r="AH88" i="4" s="1"/>
  <c r="AI88" i="4" s="1"/>
  <c r="AG86" i="4"/>
  <c r="AH86" i="4" s="1"/>
  <c r="AI86" i="4" s="1"/>
  <c r="AN42" i="4"/>
  <c r="AN37" i="4"/>
  <c r="AI79" i="4"/>
  <c r="AJ78" i="4" s="1"/>
  <c r="AL33" i="4"/>
  <c r="AL43" i="4"/>
  <c r="AK68" i="4"/>
  <c r="AG95" i="4"/>
  <c r="AH70" i="4"/>
  <c r="AO42" i="4" l="1"/>
  <c r="AO37" i="4"/>
  <c r="AH95" i="4"/>
  <c r="AI70" i="4"/>
  <c r="AI95" i="4" s="1"/>
  <c r="AM33" i="4"/>
  <c r="AM38" i="4" s="1"/>
  <c r="AM43" i="4"/>
  <c r="AK77" i="4"/>
  <c r="AK85" i="4" s="1"/>
  <c r="AK87" i="4" s="1"/>
  <c r="AJ68" i="4"/>
  <c r="AJ77" i="4"/>
  <c r="AJ79" i="4" s="1"/>
  <c r="AK78" i="4" s="1"/>
  <c r="AL38" i="4"/>
  <c r="AL76" i="4" l="1"/>
  <c r="AL66" i="4"/>
  <c r="AM66" i="4"/>
  <c r="AM76" i="4"/>
  <c r="AJ85" i="4"/>
  <c r="AP42" i="4"/>
  <c r="AP37" i="4"/>
  <c r="AQ37" i="4" s="1"/>
  <c r="AS37" i="4" s="1"/>
  <c r="AK79" i="4"/>
  <c r="AL78" i="4" s="1"/>
  <c r="AJ70" i="4"/>
  <c r="AN33" i="4"/>
  <c r="AN38" i="4" s="1"/>
  <c r="AN43" i="4"/>
  <c r="AM68" i="4"/>
  <c r="AN66" i="4" l="1"/>
  <c r="AN76" i="4"/>
  <c r="AJ87" i="4"/>
  <c r="AJ88" i="4" s="1"/>
  <c r="AK88" i="4" s="1"/>
  <c r="AJ86" i="4"/>
  <c r="AK86" i="4" s="1"/>
  <c r="AJ95" i="4"/>
  <c r="AK70" i="4"/>
  <c r="AK95" i="4" s="1"/>
  <c r="AO33" i="4"/>
  <c r="AO38" i="4" s="1"/>
  <c r="AO43" i="4"/>
  <c r="AN68" i="4"/>
  <c r="AL77" i="4"/>
  <c r="AL79" i="4" s="1"/>
  <c r="AM78" i="4" s="1"/>
  <c r="AM77" i="4"/>
  <c r="AM85" i="4" s="1"/>
  <c r="AM87" i="4" s="1"/>
  <c r="AL68" i="4"/>
  <c r="AO76" i="4" l="1"/>
  <c r="AO66" i="4"/>
  <c r="AL85" i="4"/>
  <c r="AL87" i="4" s="1"/>
  <c r="AL88" i="4"/>
  <c r="AM88" i="4" s="1"/>
  <c r="AM79" i="4"/>
  <c r="AN78" i="4" s="1"/>
  <c r="AN77" i="4"/>
  <c r="AN85" i="4" s="1"/>
  <c r="AN87" i="4" s="1"/>
  <c r="AP33" i="4"/>
  <c r="AP43" i="4"/>
  <c r="AL70" i="4"/>
  <c r="AL86" i="4" l="1"/>
  <c r="AM86" i="4" s="1"/>
  <c r="AN86" i="4" s="1"/>
  <c r="AN88" i="4"/>
  <c r="AN79" i="4"/>
  <c r="AO78" i="4" s="1"/>
  <c r="AO68" i="4"/>
  <c r="AL95" i="4"/>
  <c r="AM70" i="4"/>
  <c r="AP38" i="4"/>
  <c r="AQ33" i="4"/>
  <c r="AO77" i="4"/>
  <c r="AO85" i="4" s="1"/>
  <c r="AO87" i="4" s="1"/>
  <c r="AP76" i="4" l="1"/>
  <c r="AP66" i="4"/>
  <c r="AO88" i="4"/>
  <c r="AO86" i="4"/>
  <c r="AO79" i="4"/>
  <c r="AP78" i="4" s="1"/>
  <c r="AQ38" i="4"/>
  <c r="AS38" i="4" s="1"/>
  <c r="AS33" i="4"/>
  <c r="AM95" i="4"/>
  <c r="AN70" i="4"/>
  <c r="AN95" i="4" s="1"/>
  <c r="AO70" i="4" l="1"/>
  <c r="AO95" i="4" s="1"/>
  <c r="AP77" i="4"/>
  <c r="AQ77" i="4" s="1"/>
  <c r="AS77" i="4" s="1"/>
  <c r="AQ76" i="4"/>
  <c r="AS76" i="4" s="1"/>
  <c r="AP68" i="4"/>
  <c r="AQ66" i="4"/>
  <c r="AS66" i="4" s="1"/>
  <c r="AP85" i="4" l="1"/>
  <c r="AP79" i="4"/>
  <c r="AQ79" i="4" s="1"/>
  <c r="AS79" i="4" s="1"/>
  <c r="AP70" i="4"/>
  <c r="AQ68" i="4"/>
  <c r="AP87" i="4" l="1"/>
  <c r="AP88" i="4" s="1"/>
  <c r="AP86" i="4"/>
  <c r="AR68" i="4"/>
  <c r="AS68" i="4"/>
  <c r="AP95" i="4"/>
  <c r="AS95" i="4" s="1"/>
  <c r="AS97" i="4" s="1"/>
  <c r="B92" i="4" s="1"/>
  <c r="AQ70" i="4"/>
  <c r="D66" i="7" l="1"/>
  <c r="D2" i="4"/>
</calcChain>
</file>

<file path=xl/sharedStrings.xml><?xml version="1.0" encoding="utf-8"?>
<sst xmlns="http://schemas.openxmlformats.org/spreadsheetml/2006/main" count="234" uniqueCount="154">
  <si>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</si>
  <si>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</si>
  <si>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</si>
  <si>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</si>
  <si>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</si>
  <si>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</si>
  <si>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</si>
  <si>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</si>
  <si>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ДИНАМИКА СЕБЕСТОИМОСТИ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</si>
  <si>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</si>
  <si>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</si>
  <si>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</si>
  <si>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</si>
  <si>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</si>
  <si>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</si>
  <si>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</si>
  <si>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</si>
  <si>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</si>
  <si>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</si>
  <si>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</si>
  <si>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</si>
  <si>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</si>
  <si>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</si>
  <si>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</si>
  <si>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</si>
  <si>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</si>
  <si>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</si>
  <si>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</si>
  <si>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</si>
  <si>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</si>
  <si>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</si>
  <si>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</si>
  <si>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</si>
  <si>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</si>
  <si>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</si>
  <si>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</si>
  <si>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</si>
  <si>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</si>
  <si>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</si>
  <si>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</si>
  <si>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</si>
  <si>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</si>
  <si>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</si>
  <si>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</si>
  <si>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</si>
  <si>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</si>
  <si>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</si>
  <si>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</si>
  <si>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</si>
  <si>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</si>
  <si>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</si>
  <si>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Хозяйственные нужды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</si>
  <si>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</si>
  <si>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</si>
  <si>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</si>
  <si>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</si>
  <si>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</si>
  <si>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</si>
  <si>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</si>
  <si>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</si>
  <si>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</si>
  <si>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</si>
  <si>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</si>
  <si>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</si>
  <si>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Срок окупаемости проекта с учетом инвестиций в товар, мес.:</t>
  </si>
  <si>
    <t>UAH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</si>
  <si>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</si>
  <si>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</si>
  <si>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</si>
  <si>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</si>
  <si>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</si>
  <si>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</si>
  <si>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Количество, чел.</t>
  </si>
  <si>
    <t>Сервисное обслуживание техники и оборудования</t>
  </si>
  <si>
    <t>Услуги связи и интернет</t>
  </si>
  <si>
    <t>от общей выручки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</si>
  <si>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</si>
  <si>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</si>
  <si>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Охрана</t>
  </si>
  <si>
    <t>накопленная прибыль</t>
  </si>
  <si>
    <t>общая выручка</t>
  </si>
  <si>
    <t>Себестоимость</t>
  </si>
  <si>
    <t>Удельный вес в объеме выручки за 1-й год работы</t>
  </si>
  <si>
    <t>Налоги</t>
  </si>
  <si>
    <t>июнь</t>
  </si>
  <si>
    <t>Транспортные расходы</t>
  </si>
  <si>
    <t>Выход продаж на плановые показатели и дальнейший рост объемов*</t>
  </si>
  <si>
    <t>Рост цен на реализуемые товары*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</si>
  <si>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</si>
  <si>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</si>
  <si>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</si>
  <si>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Фиксированный оклад на 1 сотрудника</t>
  </si>
  <si>
    <t>Среднемесячная сумма затрат за 1-й год работы</t>
  </si>
  <si>
    <t>USD/мес.</t>
  </si>
  <si>
    <t>Курс валют (1 единица валюты (USD) = указанному количеству другой валюты)</t>
  </si>
  <si>
    <t>накопленная прибыль с покрытыми убытками</t>
  </si>
  <si>
    <t>Формат сотрудничества</t>
  </si>
  <si>
    <t>ИНВЕСТИЦИИ</t>
  </si>
  <si>
    <t>Налоги, % от общей выручки</t>
  </si>
  <si>
    <t>Группы услуг</t>
  </si>
  <si>
    <t>Среднемесячная выручка*</t>
  </si>
  <si>
    <t xml:space="preserve"> * - без учета динамики выхода продаж на плановые показатели и дальнейшего роста объемов продаж, которая указывается на странице "Детальный расчет".</t>
  </si>
  <si>
    <t>Директор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</si>
  <si>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</si>
  <si>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</si>
  <si>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</si>
  <si>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Товарные группы</t>
  </si>
  <si>
    <t>Форматы сотрудничества (название)</t>
  </si>
  <si>
    <t>Первоначальная закупка товара</t>
  </si>
  <si>
    <t>Продавец</t>
  </si>
  <si>
    <t>если нужно, можно добавить еще строчки для должностных единиц персонала</t>
  </si>
  <si>
    <t>USD/мес.*</t>
  </si>
  <si>
    <t>Бухгалтер</t>
  </si>
  <si>
    <t>Банковское обслуживание</t>
  </si>
  <si>
    <t>Среднемесячная себестоимость*</t>
  </si>
  <si>
    <t>Среднемесячная валовая выручка (выручка - себестоимость)*</t>
  </si>
  <si>
    <t>Исходные данные для финансовой модели франшизы "Экономбуд"</t>
  </si>
  <si>
    <t>Финансовая модель франшизы "Экономбуд"</t>
  </si>
  <si>
    <t>Премиум</t>
  </si>
  <si>
    <t>Бизнес</t>
  </si>
  <si>
    <t>Материалы</t>
  </si>
  <si>
    <t>Оборудование</t>
  </si>
  <si>
    <t>Услуги</t>
  </si>
  <si>
    <t>Плановая среднемесячная выручка по каждой группе услуг</t>
  </si>
  <si>
    <t>Доля себестоимости в среднемесячной плановой выручке, %</t>
  </si>
  <si>
    <t>Складское оборудование</t>
  </si>
  <si>
    <t>Компьютеры</t>
  </si>
  <si>
    <t>Офисные расходы</t>
  </si>
  <si>
    <t>Обновление униформы персонала*</t>
  </si>
  <si>
    <t xml:space="preserve"> * - расходы на "Обновление униформы персонала" осуществляются раз в 2 месяца. Размер расхода указывается на 1-го сотрудника (кроме бухгалтера).</t>
  </si>
  <si>
    <t xml:space="preserve"> * - в данном столбце указываются среднемесячные расходы кроме расходов на "Обновление униформы персонала". Расходы на "Обновление униформы персонала" в указаном размере осуществляются раз в 2 месяца.</t>
  </si>
  <si>
    <t>Процент от переданого заказа</t>
  </si>
  <si>
    <t>Процент от переданного заказа, % от общей выручки</t>
  </si>
  <si>
    <t>Мебель</t>
  </si>
  <si>
    <t>Наименование</t>
  </si>
  <si>
    <t>Количество, шт.</t>
  </si>
  <si>
    <t>Стоимость за единицу</t>
  </si>
  <si>
    <t>Стоимость итого</t>
  </si>
  <si>
    <t>Сумма</t>
  </si>
  <si>
    <t>Валюта</t>
  </si>
  <si>
    <t>Инвестиции в оборудование для франшизы "Экономбуд"</t>
  </si>
  <si>
    <t>Аппарат S9000</t>
  </si>
  <si>
    <t>Бочковые насосы (комплект)</t>
  </si>
  <si>
    <t>Доп. Пистолет-распылитель Graco Fusion</t>
  </si>
  <si>
    <t>Доп. Шланги 25 м</t>
  </si>
  <si>
    <t>Нагревательные приборы с терморегуляторами (комплект)</t>
  </si>
  <si>
    <t>Компрессор</t>
  </si>
  <si>
    <t>Шланги, переноски</t>
  </si>
  <si>
    <t>Оборудование*</t>
  </si>
  <si>
    <t>Допуск для высотных работ**</t>
  </si>
  <si>
    <t xml:space="preserve"> * - инвестиции в оборудование вносятся на странице "Инвестиции в оборудование".
 ** - затраты на "Допуск для высотных работ" осуществляются раз в год. Со 2-го года работы данные затраты будут указываться ежегодно в текущих затратах.</t>
  </si>
  <si>
    <t>В валюте, в которой производиться расчет, UAH</t>
  </si>
  <si>
    <t>Прочее, в том числе покрытие убытков текущей деятельности</t>
  </si>
  <si>
    <t>Коэффициент дисконтирования, % годовых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</si>
</sst>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indexed="9"/>
      <name val="Arial Cyr"/>
      <charset val="204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329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10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2" fillId="3" borderId="0" xfId="3" applyFont="1" applyFill="1" applyBorder="1" applyAlignment="1">
      <alignment vertical="center"/>
    </xf>
    <xf numFmtId="0" fontId="12" fillId="3" borderId="0" xfId="3" applyFont="1" applyFill="1" applyBorder="1" applyAlignment="1">
      <alignment vertical="center" wrapText="1"/>
    </xf>
    <xf numFmtId="0" fontId="13" fillId="3" borderId="0" xfId="3" applyFont="1" applyFill="1" applyBorder="1" applyAlignment="1">
      <alignment vertical="center" wrapText="1"/>
    </xf>
    <xf numFmtId="0" fontId="11" fillId="3" borderId="0" xfId="3" applyFont="1" applyFill="1"/>
    <xf numFmtId="0" fontId="11" fillId="0" borderId="0" xfId="3" applyFont="1"/>
    <xf numFmtId="0" fontId="14" fillId="0" borderId="0" xfId="3" applyFont="1"/>
    <xf numFmtId="0" fontId="15" fillId="4" borderId="6" xfId="3" applyFont="1" applyFill="1" applyBorder="1" applyAlignment="1">
      <alignment vertical="center"/>
    </xf>
    <xf numFmtId="0" fontId="15" fillId="4" borderId="6" xfId="3" applyFont="1" applyFill="1" applyBorder="1" applyAlignment="1">
      <alignment horizontal="center" vertical="center"/>
    </xf>
    <xf numFmtId="165" fontId="16" fillId="4" borderId="6" xfId="3" applyNumberFormat="1" applyFont="1" applyFill="1" applyBorder="1" applyAlignment="1">
      <alignment horizontal="center" vertical="center"/>
    </xf>
    <xf numFmtId="0" fontId="14" fillId="0" borderId="0" xfId="3" applyFont="1" applyBorder="1" applyAlignment="1">
      <alignment horizontal="left" vertical="center" wrapText="1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4" fillId="0" borderId="0" xfId="0" applyFont="1"/>
    <xf numFmtId="0" fontId="14" fillId="5" borderId="0" xfId="0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vertical="center"/>
    </xf>
    <xf numFmtId="9" fontId="14" fillId="0" borderId="0" xfId="4" applyFont="1" applyFill="1"/>
    <xf numFmtId="0" fontId="14" fillId="0" borderId="0" xfId="0" applyFont="1" applyFill="1"/>
    <xf numFmtId="0" fontId="19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3" fontId="14" fillId="5" borderId="0" xfId="0" applyNumberFormat="1" applyFont="1" applyFill="1" applyBorder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3" fontId="14" fillId="0" borderId="0" xfId="0" applyNumberFormat="1" applyFont="1" applyFill="1" applyBorder="1" applyAlignment="1">
      <alignment vertical="center"/>
    </xf>
    <xf numFmtId="3" fontId="14" fillId="0" borderId="0" xfId="4" applyNumberFormat="1" applyFont="1" applyFill="1"/>
    <xf numFmtId="3" fontId="14" fillId="0" borderId="0" xfId="0" applyNumberFormat="1" applyFont="1" applyFill="1"/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4" fontId="14" fillId="0" borderId="0" xfId="3" applyNumberFormat="1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3" fontId="14" fillId="0" borderId="0" xfId="0" applyNumberFormat="1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10" fontId="17" fillId="0" borderId="0" xfId="0" applyNumberFormat="1" applyFont="1" applyBorder="1" applyAlignment="1">
      <alignment vertical="center"/>
    </xf>
    <xf numFmtId="166" fontId="14" fillId="0" borderId="0" xfId="0" applyNumberFormat="1" applyFont="1" applyFill="1" applyBorder="1" applyAlignment="1">
      <alignment horizontal="left" vertical="center"/>
    </xf>
    <xf numFmtId="166" fontId="14" fillId="0" borderId="0" xfId="0" applyNumberFormat="1" applyFont="1"/>
    <xf numFmtId="166" fontId="17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/>
    <xf numFmtId="3" fontId="20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vertical="center"/>
    </xf>
    <xf numFmtId="0" fontId="20" fillId="0" borderId="0" xfId="0" applyFont="1"/>
    <xf numFmtId="4" fontId="19" fillId="0" borderId="0" xfId="0" applyNumberFormat="1" applyFont="1"/>
    <xf numFmtId="0" fontId="23" fillId="0" borderId="0" xfId="0" applyFont="1"/>
    <xf numFmtId="0" fontId="22" fillId="0" borderId="0" xfId="0" applyFont="1"/>
    <xf numFmtId="0" fontId="24" fillId="3" borderId="0" xfId="3" applyFont="1" applyFill="1" applyBorder="1" applyAlignment="1">
      <alignment horizontal="left" vertical="center"/>
    </xf>
    <xf numFmtId="9" fontId="14" fillId="5" borderId="0" xfId="0" applyNumberFormat="1" applyFont="1" applyFill="1" applyBorder="1" applyAlignment="1">
      <alignment horizontal="left" vertical="center"/>
    </xf>
    <xf numFmtId="9" fontId="14" fillId="0" borderId="0" xfId="0" applyNumberFormat="1" applyFont="1" applyFill="1" applyBorder="1" applyAlignment="1">
      <alignment horizontal="left" vertical="center"/>
    </xf>
    <xf numFmtId="0" fontId="14" fillId="6" borderId="0" xfId="3" applyFont="1" applyFill="1" applyBorder="1" applyAlignment="1">
      <alignment horizontal="center" vertical="center"/>
    </xf>
    <xf numFmtId="0" fontId="14" fillId="6" borderId="0" xfId="3" applyFont="1" applyFill="1"/>
    <xf numFmtId="0" fontId="25" fillId="0" borderId="0" xfId="0" applyFont="1" applyFill="1" applyBorder="1" applyAlignment="1">
      <alignment horizontal="left" vertical="center"/>
    </xf>
    <xf numFmtId="0" fontId="26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/>
    <xf numFmtId="3" fontId="14" fillId="6" borderId="0" xfId="0" applyNumberFormat="1" applyFont="1" applyFill="1" applyBorder="1" applyAlignment="1">
      <alignment horizontal="left" vertical="center"/>
    </xf>
    <xf numFmtId="3" fontId="14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10" fontId="28" fillId="0" borderId="0" xfId="2" applyNumberFormat="1" applyFont="1"/>
    <xf numFmtId="0" fontId="27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29" fillId="0" borderId="0" xfId="0" applyFont="1" applyAlignment="1">
      <alignment vertical="center"/>
    </xf>
    <xf numFmtId="0" fontId="28" fillId="6" borderId="0" xfId="0" applyFont="1" applyFill="1" applyProtection="1">
      <protection locked="0"/>
    </xf>
    <xf numFmtId="0" fontId="31" fillId="0" borderId="0" xfId="0" applyFont="1" applyAlignment="1">
      <alignment vertical="center"/>
    </xf>
    <xf numFmtId="9" fontId="10" fillId="6" borderId="0" xfId="2" applyFont="1" applyFill="1" applyBorder="1" applyAlignment="1">
      <alignment horizontal="left" vertical="center" indent="1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5" fillId="6" borderId="0" xfId="0" applyFont="1" applyFill="1" applyAlignment="1">
      <alignment vertical="center"/>
    </xf>
    <xf numFmtId="0" fontId="28" fillId="0" borderId="0" xfId="0" applyFont="1"/>
    <xf numFmtId="0" fontId="0" fillId="6" borderId="0" xfId="0" applyFill="1" applyBorder="1"/>
    <xf numFmtId="0" fontId="33" fillId="0" borderId="0" xfId="0" applyFont="1"/>
    <xf numFmtId="3" fontId="9" fillId="6" borderId="0" xfId="1" applyNumberFormat="1" applyFont="1" applyFill="1" applyBorder="1" applyAlignment="1">
      <alignment vertical="center"/>
    </xf>
    <xf numFmtId="0" fontId="5" fillId="6" borderId="0" xfId="0" applyFont="1" applyFill="1" applyBorder="1" applyAlignment="1">
      <alignment vertical="center"/>
    </xf>
    <xf numFmtId="9" fontId="9" fillId="6" borderId="0" xfId="2" applyFont="1" applyFill="1" applyBorder="1" applyAlignment="1">
      <alignment vertical="center"/>
    </xf>
    <xf numFmtId="9" fontId="14" fillId="2" borderId="0" xfId="3" applyNumberFormat="1" applyFont="1" applyFill="1" applyBorder="1" applyAlignment="1">
      <alignment horizontal="center" vertical="center"/>
    </xf>
    <xf numFmtId="9" fontId="14" fillId="6" borderId="0" xfId="3" applyNumberFormat="1" applyFont="1" applyFill="1" applyBorder="1" applyAlignment="1">
      <alignment horizontal="center" vertical="center"/>
    </xf>
    <xf numFmtId="0" fontId="14" fillId="6" borderId="0" xfId="3" applyFont="1" applyFill="1" applyBorder="1" applyAlignment="1">
      <alignment horizontal="left" vertical="center"/>
    </xf>
    <xf numFmtId="0" fontId="34" fillId="0" borderId="0" xfId="3" applyFont="1"/>
    <xf numFmtId="0" fontId="14" fillId="6" borderId="0" xfId="3" applyFont="1" applyFill="1" applyBorder="1"/>
    <xf numFmtId="0" fontId="11" fillId="6" borderId="0" xfId="3" applyFont="1" applyFill="1" applyBorder="1"/>
    <xf numFmtId="0" fontId="15" fillId="4" borderId="9" xfId="0" applyFont="1" applyFill="1" applyBorder="1" applyAlignment="1">
      <alignment horizontal="center" vertical="center"/>
    </xf>
    <xf numFmtId="0" fontId="15" fillId="4" borderId="9" xfId="3" applyFont="1" applyFill="1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3" fontId="19" fillId="0" borderId="7" xfId="0" applyNumberFormat="1" applyFont="1" applyFill="1" applyBorder="1" applyAlignment="1">
      <alignment vertical="center"/>
    </xf>
    <xf numFmtId="3" fontId="0" fillId="0" borderId="0" xfId="0" applyNumberFormat="1"/>
    <xf numFmtId="0" fontId="20" fillId="0" borderId="0" xfId="0" applyFont="1" applyFill="1" applyBorder="1" applyAlignment="1">
      <alignment horizontal="right"/>
    </xf>
    <xf numFmtId="0" fontId="20" fillId="0" borderId="0" xfId="0" applyFont="1" applyAlignment="1">
      <alignment horizontal="right"/>
    </xf>
    <xf numFmtId="1" fontId="20" fillId="0" borderId="1" xfId="0" applyNumberFormat="1" applyFont="1" applyFill="1" applyBorder="1"/>
    <xf numFmtId="0" fontId="15" fillId="4" borderId="6" xfId="0" applyFont="1" applyFill="1" applyBorder="1" applyAlignment="1">
      <alignment horizontal="center" vertical="center" wrapText="1"/>
    </xf>
    <xf numFmtId="0" fontId="2" fillId="0" borderId="0" xfId="0" applyFont="1"/>
    <xf numFmtId="0" fontId="37" fillId="3" borderId="0" xfId="3" applyFont="1" applyFill="1"/>
    <xf numFmtId="0" fontId="37" fillId="0" borderId="0" xfId="3" applyFont="1"/>
    <xf numFmtId="9" fontId="20" fillId="2" borderId="0" xfId="3" applyNumberFormat="1" applyFont="1" applyFill="1" applyBorder="1" applyAlignment="1">
      <alignment horizontal="center" vertical="center"/>
    </xf>
    <xf numFmtId="0" fontId="38" fillId="0" borderId="0" xfId="3" applyFont="1"/>
    <xf numFmtId="0" fontId="37" fillId="6" borderId="0" xfId="3" applyFont="1" applyFill="1" applyBorder="1"/>
    <xf numFmtId="0" fontId="39" fillId="4" borderId="9" xfId="3" applyFont="1" applyFill="1" applyBorder="1" applyAlignment="1">
      <alignment horizontal="center" vertical="center" wrapText="1"/>
    </xf>
    <xf numFmtId="0" fontId="20" fillId="0" borderId="0" xfId="3" applyFont="1"/>
    <xf numFmtId="0" fontId="39" fillId="4" borderId="9" xfId="0" applyFont="1" applyFill="1" applyBorder="1" applyAlignment="1">
      <alignment horizontal="center" vertical="center" wrapText="1"/>
    </xf>
    <xf numFmtId="3" fontId="20" fillId="5" borderId="0" xfId="0" applyNumberFormat="1" applyFont="1" applyFill="1" applyBorder="1" applyAlignment="1">
      <alignment vertical="center"/>
    </xf>
    <xf numFmtId="0" fontId="39" fillId="4" borderId="6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39" fillId="4" borderId="6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vertical="center"/>
    </xf>
    <xf numFmtId="0" fontId="40" fillId="0" borderId="0" xfId="0" applyFont="1"/>
    <xf numFmtId="3" fontId="17" fillId="6" borderId="0" xfId="0" applyNumberFormat="1" applyFont="1" applyFill="1" applyBorder="1" applyAlignment="1">
      <alignment vertical="center"/>
    </xf>
    <xf numFmtId="3" fontId="19" fillId="6" borderId="7" xfId="0" applyNumberFormat="1" applyFont="1" applyFill="1" applyBorder="1" applyAlignment="1">
      <alignment vertical="center"/>
    </xf>
    <xf numFmtId="165" fontId="16" fillId="4" borderId="6" xfId="3" applyNumberFormat="1" applyFont="1" applyFill="1" applyBorder="1" applyAlignment="1">
      <alignment horizontal="center" vertical="center" wrapText="1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5" fillId="4" borderId="6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Fill="1"/>
    <xf numFmtId="0" fontId="42" fillId="0" borderId="0" xfId="0" applyFont="1" applyFill="1"/>
    <xf numFmtId="0" fontId="5" fillId="0" borderId="0" xfId="0" applyFont="1" applyBorder="1" applyAlignment="1">
      <alignment vertical="center"/>
    </xf>
    <xf numFmtId="3" fontId="17" fillId="6" borderId="0" xfId="3" applyNumberFormat="1" applyFont="1" applyFill="1" applyBorder="1" applyAlignment="1">
      <alignment vertical="center"/>
    </xf>
    <xf numFmtId="3" fontId="14" fillId="6" borderId="0" xfId="0" applyNumberFormat="1" applyFont="1" applyFill="1" applyBorder="1" applyAlignment="1">
      <alignment vertical="center"/>
    </xf>
    <xf numFmtId="3" fontId="17" fillId="0" borderId="0" xfId="3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0" fontId="12" fillId="3" borderId="0" xfId="3" applyFont="1" applyFill="1" applyBorder="1" applyAlignment="1">
      <alignment horizontal="right" vertical="center"/>
    </xf>
    <xf numFmtId="1" fontId="24" fillId="3" borderId="0" xfId="3" applyNumberFormat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vertical="center"/>
    </xf>
    <xf numFmtId="168" fontId="20" fillId="0" borderId="0" xfId="0" applyNumberFormat="1" applyFont="1" applyFill="1" applyBorder="1" applyAlignment="1">
      <alignment vertical="center"/>
    </xf>
    <xf numFmtId="168" fontId="17" fillId="6" borderId="0" xfId="3" applyNumberFormat="1" applyFont="1" applyFill="1" applyBorder="1" applyAlignment="1">
      <alignment vertical="center"/>
    </xf>
    <xf numFmtId="168" fontId="14" fillId="6" borderId="0" xfId="0" applyNumberFormat="1" applyFont="1" applyFill="1" applyBorder="1" applyAlignment="1">
      <alignment vertical="center"/>
    </xf>
    <xf numFmtId="168" fontId="17" fillId="0" borderId="0" xfId="3" applyNumberFormat="1" applyFont="1" applyFill="1" applyBorder="1" applyAlignment="1">
      <alignment vertical="center"/>
    </xf>
    <xf numFmtId="3" fontId="8" fillId="6" borderId="0" xfId="1" applyNumberFormat="1" applyFont="1" applyFill="1" applyBorder="1" applyAlignment="1" applyProtection="1">
      <alignment horizontal="center" vertical="center"/>
      <protection locked="0"/>
    </xf>
    <xf numFmtId="0" fontId="20" fillId="6" borderId="7" xfId="3" applyFont="1" applyFill="1" applyBorder="1" applyAlignment="1">
      <alignment horizontal="left" vertical="center"/>
    </xf>
    <xf numFmtId="0" fontId="14" fillId="6" borderId="7" xfId="3" applyFont="1" applyFill="1" applyBorder="1" applyAlignment="1">
      <alignment horizontal="center" vertical="center"/>
    </xf>
    <xf numFmtId="3" fontId="20" fillId="6" borderId="7" xfId="3" applyNumberFormat="1" applyFont="1" applyFill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" fillId="6" borderId="0" xfId="0" applyFont="1" applyFill="1" applyBorder="1"/>
    <xf numFmtId="0" fontId="14" fillId="6" borderId="0" xfId="0" applyFont="1" applyFill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9" fontId="10" fillId="0" borderId="0" xfId="2" applyFont="1" applyBorder="1" applyAlignment="1">
      <alignment horizontal="left" vertical="center" wrapText="1" indent="1"/>
    </xf>
    <xf numFmtId="0" fontId="0" fillId="0" borderId="0" xfId="0" applyBorder="1" applyAlignment="1">
      <alignment horizontal="left" vertical="center" indent="1"/>
    </xf>
    <xf numFmtId="0" fontId="46" fillId="4" borderId="6" xfId="0" applyFont="1" applyFill="1" applyBorder="1" applyAlignment="1">
      <alignment horizontal="center" vertical="center" wrapText="1"/>
    </xf>
    <xf numFmtId="0" fontId="47" fillId="6" borderId="0" xfId="3" applyFont="1" applyFill="1" applyBorder="1" applyAlignment="1">
      <alignment horizontal="left" vertical="center"/>
    </xf>
    <xf numFmtId="0" fontId="48" fillId="6" borderId="0" xfId="3" applyFont="1" applyFill="1" applyBorder="1" applyAlignment="1">
      <alignment horizontal="center" vertical="center"/>
    </xf>
    <xf numFmtId="4" fontId="47" fillId="6" borderId="0" xfId="3" applyNumberFormat="1" applyFont="1" applyFill="1" applyBorder="1" applyAlignment="1">
      <alignment vertical="center"/>
    </xf>
    <xf numFmtId="4" fontId="49" fillId="6" borderId="0" xfId="0" applyNumberFormat="1" applyFont="1" applyFill="1" applyBorder="1" applyAlignment="1">
      <alignment vertical="center"/>
    </xf>
    <xf numFmtId="0" fontId="48" fillId="6" borderId="0" xfId="3" applyFont="1" applyFill="1"/>
    <xf numFmtId="0" fontId="43" fillId="6" borderId="0" xfId="0" applyFont="1" applyFill="1" applyBorder="1" applyAlignment="1">
      <alignment horizontal="left" wrapText="1"/>
    </xf>
    <xf numFmtId="9" fontId="10" fillId="0" borderId="0" xfId="2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9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3" applyFont="1" applyBorder="1" applyAlignment="1">
      <alignment horizontal="center" vertical="center"/>
    </xf>
    <xf numFmtId="0" fontId="48" fillId="0" borderId="0" xfId="3" applyFont="1" applyBorder="1" applyAlignment="1">
      <alignment vertical="center"/>
    </xf>
    <xf numFmtId="0" fontId="48" fillId="0" borderId="0" xfId="3" applyFont="1"/>
    <xf numFmtId="0" fontId="48" fillId="0" borderId="0" xfId="3" applyFont="1" applyFill="1" applyBorder="1" applyAlignment="1">
      <alignment vertical="center"/>
    </xf>
    <xf numFmtId="3" fontId="48" fillId="0" borderId="0" xfId="3" applyNumberFormat="1" applyFont="1" applyBorder="1" applyAlignment="1">
      <alignment vertical="center"/>
    </xf>
    <xf numFmtId="14" fontId="0" fillId="0" borderId="0" xfId="0" applyNumberFormat="1"/>
    <xf numFmtId="14" fontId="0" fillId="0" borderId="0" xfId="0" applyNumberFormat="1" applyAlignment="1">
      <alignment vertical="center"/>
    </xf>
    <xf numFmtId="3" fontId="52" fillId="2" borderId="1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vertical="center" wrapText="1"/>
    </xf>
    <xf numFmtId="0" fontId="36" fillId="6" borderId="0" xfId="0" applyFont="1" applyFill="1"/>
    <xf numFmtId="0" fontId="6" fillId="0" borderId="0" xfId="0" applyFont="1" applyAlignment="1">
      <alignment horizontal="center" vertical="center" wrapText="1"/>
    </xf>
    <xf numFmtId="3" fontId="52" fillId="6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33" fillId="0" borderId="0" xfId="0" applyFont="1" applyBorder="1"/>
    <xf numFmtId="0" fontId="31" fillId="6" borderId="0" xfId="0" applyFont="1" applyFill="1" applyAlignment="1">
      <alignment vertical="center"/>
    </xf>
    <xf numFmtId="0" fontId="19" fillId="6" borderId="0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31" fillId="6" borderId="0" xfId="0" applyNumberFormat="1" applyFont="1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3" fontId="52" fillId="2" borderId="1" xfId="1" applyNumberFormat="1" applyFont="1" applyFill="1" applyBorder="1" applyAlignment="1" applyProtection="1">
      <alignment horizontal="center" vertical="center"/>
      <protection locked="0"/>
    </xf>
    <xf numFmtId="3" fontId="52" fillId="6" borderId="1" xfId="1" applyNumberFormat="1" applyFont="1" applyFill="1" applyBorder="1" applyAlignment="1" applyProtection="1">
      <alignment horizontal="center" vertical="center"/>
      <protection locked="0"/>
    </xf>
    <xf numFmtId="3" fontId="9" fillId="7" borderId="0" xfId="1" applyNumberFormat="1" applyFont="1" applyFill="1" applyBorder="1" applyAlignment="1">
      <alignment vertical="center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10" fontId="8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/>
    </xf>
    <xf numFmtId="0" fontId="0" fillId="0" borderId="0" xfId="0" applyAlignment="1">
      <alignment wrapText="1"/>
    </xf>
    <xf numFmtId="9" fontId="9" fillId="6" borderId="1" xfId="2" applyFont="1" applyFill="1" applyBorder="1" applyAlignment="1">
      <alignment horizontal="center" vertical="center" wrapText="1"/>
    </xf>
    <xf numFmtId="9" fontId="9" fillId="2" borderId="1" xfId="2" applyFont="1" applyFill="1" applyBorder="1" applyAlignment="1">
      <alignment vertical="center" wrapText="1"/>
    </xf>
    <xf numFmtId="0" fontId="0" fillId="0" borderId="1" xfId="0" applyBorder="1"/>
    <xf numFmtId="9" fontId="9" fillId="0" borderId="0" xfId="2" applyFont="1" applyBorder="1" applyAlignment="1">
      <alignment horizontal="left" vertical="center" wrapText="1"/>
    </xf>
    <xf numFmtId="9" fontId="9" fillId="0" borderId="8" xfId="2" applyFont="1" applyBorder="1" applyAlignment="1">
      <alignment horizontal="left" vertical="center" wrapText="1"/>
    </xf>
    <xf numFmtId="9" fontId="9" fillId="2" borderId="1" xfId="2" applyFont="1" applyFill="1" applyBorder="1" applyAlignment="1">
      <alignment horizontal="center" vertical="center" wrapText="1"/>
    </xf>
    <xf numFmtId="3" fontId="8" fillId="2" borderId="1" xfId="1" applyNumberFormat="1" applyFont="1" applyFill="1" applyBorder="1" applyAlignment="1">
      <alignment horizontal="center" vertical="center"/>
    </xf>
    <xf numFmtId="3" fontId="8" fillId="6" borderId="1" xfId="1" applyNumberFormat="1" applyFont="1" applyFill="1" applyBorder="1" applyAlignment="1">
      <alignment horizontal="center" vertical="center"/>
    </xf>
    <xf numFmtId="0" fontId="43" fillId="6" borderId="5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3" fontId="30" fillId="6" borderId="1" xfId="1" applyNumberFormat="1" applyFont="1" applyFill="1" applyBorder="1" applyAlignment="1">
      <alignment horizontal="center" vertical="center"/>
    </xf>
    <xf numFmtId="0" fontId="0" fillId="6" borderId="5" xfId="0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vertical="center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3" xfId="0" applyFont="1" applyFill="1" applyBorder="1" applyAlignment="1">
      <alignment horizontal="left" wrapText="1"/>
    </xf>
    <xf numFmtId="0" fontId="50" fillId="0" borderId="1" xfId="0" applyFont="1" applyBorder="1" applyAlignment="1">
      <alignment horizontal="center" vertical="center" wrapText="1"/>
    </xf>
    <xf numFmtId="0" fontId="45" fillId="2" borderId="0" xfId="0" applyFont="1" applyFill="1" applyAlignment="1">
      <alignment horizontal="center"/>
    </xf>
    <xf numFmtId="9" fontId="9" fillId="0" borderId="0" xfId="2" applyFont="1" applyBorder="1" applyAlignment="1">
      <alignment vertical="center" wrapText="1"/>
    </xf>
    <xf numFmtId="9" fontId="9" fillId="0" borderId="8" xfId="2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 wrapText="1"/>
    </xf>
    <xf numFmtId="9" fontId="9" fillId="6" borderId="8" xfId="2" applyFont="1" applyFill="1" applyBorder="1" applyAlignment="1">
      <alignment horizontal="left" vertical="center" wrapText="1"/>
    </xf>
    <xf numFmtId="9" fontId="51" fillId="0" borderId="0" xfId="2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9" fontId="51" fillId="2" borderId="1" xfId="2" applyFont="1" applyFill="1" applyBorder="1" applyAlignment="1" applyProtection="1">
      <alignment vertical="center" wrapText="1"/>
      <protection locked="0"/>
    </xf>
    <xf numFmtId="0" fontId="29" fillId="0" borderId="0" xfId="0" applyFont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3" fontId="52" fillId="6" borderId="1" xfId="1" applyNumberFormat="1" applyFont="1" applyFill="1" applyBorder="1" applyAlignment="1" applyProtection="1">
      <alignment horizontal="center" vertical="center"/>
      <protection locked="0"/>
    </xf>
    <xf numFmtId="10" fontId="52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0" fontId="8" fillId="2" borderId="14" xfId="2" applyNumberFormat="1" applyFont="1" applyFill="1" applyBorder="1" applyAlignment="1" applyProtection="1">
      <alignment horizontal="center" vertical="center"/>
      <protection locked="0"/>
    </xf>
    <xf numFmtId="0" fontId="8" fillId="2" borderId="0" xfId="2" applyNumberFormat="1" applyFont="1" applyFill="1" applyBorder="1" applyAlignment="1" applyProtection="1">
      <alignment horizontal="center" vertical="center"/>
      <protection locked="0"/>
    </xf>
    <xf numFmtId="0" fontId="8" fillId="2" borderId="8" xfId="2" applyNumberFormat="1" applyFont="1" applyFill="1" applyBorder="1" applyAlignment="1" applyProtection="1">
      <alignment horizontal="center" vertical="center"/>
      <protection locked="0"/>
    </xf>
    <xf numFmtId="0" fontId="8" fillId="2" borderId="2" xfId="2" applyNumberFormat="1" applyFont="1" applyFill="1" applyBorder="1" applyAlignment="1" applyProtection="1">
      <alignment horizontal="center" vertical="center"/>
      <protection locked="0"/>
    </xf>
    <xf numFmtId="0" fontId="8" fillId="2" borderId="3" xfId="2" applyNumberFormat="1" applyFont="1" applyFill="1" applyBorder="1" applyAlignment="1" applyProtection="1">
      <alignment horizontal="center" vertical="center"/>
      <protection locked="0"/>
    </xf>
    <xf numFmtId="0" fontId="8" fillId="2" borderId="4" xfId="2" applyNumberFormat="1" applyFont="1" applyFill="1" applyBorder="1" applyAlignment="1" applyProtection="1">
      <alignment horizontal="center" vertical="center"/>
      <protection locked="0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3" fontId="52" fillId="2" borderId="1" xfId="1" applyNumberFormat="1" applyFont="1" applyFill="1" applyBorder="1" applyAlignment="1" applyProtection="1">
      <alignment horizontal="center" vertical="center"/>
      <protection locked="0"/>
    </xf>
    <xf numFmtId="166" fontId="50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0" fontId="50" fillId="0" borderId="1" xfId="0" applyNumberFormat="1" applyFont="1" applyBorder="1" applyAlignment="1">
      <alignment horizontal="center" vertical="center" wrapText="1"/>
    </xf>
    <xf numFmtId="166" fontId="50" fillId="6" borderId="1" xfId="0" applyNumberFormat="1" applyFont="1" applyFill="1" applyBorder="1" applyAlignment="1">
      <alignment horizontal="center" vertical="center" wrapText="1"/>
    </xf>
    <xf numFmtId="167" fontId="8" fillId="6" borderId="1" xfId="2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horizontal="center" vertical="center" wrapText="1"/>
    </xf>
    <xf numFmtId="9" fontId="9" fillId="6" borderId="1" xfId="2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3" fontId="7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3" fontId="8" fillId="6" borderId="2" xfId="1" applyNumberFormat="1" applyFont="1" applyFill="1" applyBorder="1" applyAlignment="1" applyProtection="1">
      <alignment horizontal="center" vertical="center"/>
      <protection locked="0"/>
    </xf>
    <xf numFmtId="3" fontId="8" fillId="6" borderId="4" xfId="1" applyNumberFormat="1" applyFont="1" applyFill="1" applyBorder="1" applyAlignment="1" applyProtection="1">
      <alignment horizontal="center" vertical="center"/>
      <protection locked="0"/>
    </xf>
    <xf numFmtId="9" fontId="8" fillId="0" borderId="0" xfId="2" applyFont="1" applyBorder="1" applyAlignment="1">
      <alignment horizontal="center" vertical="center" wrapText="1"/>
    </xf>
    <xf numFmtId="167" fontId="30" fillId="6" borderId="0" xfId="2" applyNumberFormat="1" applyFont="1" applyFill="1" applyBorder="1" applyAlignment="1" applyProtection="1">
      <alignment horizontal="center" vertical="center"/>
      <protection locked="0"/>
    </xf>
    <xf numFmtId="3" fontId="30" fillId="6" borderId="7" xfId="1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wrapText="1"/>
    </xf>
    <xf numFmtId="3" fontId="7" fillId="0" borderId="2" xfId="1" applyNumberFormat="1" applyFont="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3" fontId="7" fillId="6" borderId="2" xfId="1" applyNumberFormat="1" applyFont="1" applyFill="1" applyBorder="1" applyAlignment="1">
      <alignment horizontal="center" vertical="center"/>
    </xf>
    <xf numFmtId="3" fontId="7" fillId="6" borderId="3" xfId="1" applyNumberFormat="1" applyFont="1" applyFill="1" applyBorder="1" applyAlignment="1">
      <alignment horizontal="center" vertical="center"/>
    </xf>
    <xf numFmtId="3" fontId="7" fillId="6" borderId="4" xfId="1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10" fontId="8" fillId="6" borderId="2" xfId="2" applyNumberFormat="1" applyFont="1" applyFill="1" applyBorder="1" applyAlignment="1" applyProtection="1">
      <alignment horizontal="center" vertical="center"/>
      <protection locked="0"/>
    </xf>
    <xf numFmtId="10" fontId="8" fillId="6" borderId="4" xfId="2" applyNumberFormat="1" applyFont="1" applyFill="1" applyBorder="1" applyAlignment="1" applyProtection="1">
      <alignment horizontal="center" vertical="center"/>
      <protection locked="0"/>
    </xf>
    <xf numFmtId="9" fontId="9" fillId="0" borderId="0" xfId="2" applyFont="1" applyBorder="1" applyAlignment="1">
      <alignment horizontal="left" vertical="center"/>
    </xf>
    <xf numFmtId="9" fontId="9" fillId="0" borderId="8" xfId="2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3" fontId="30" fillId="6" borderId="2" xfId="1" applyNumberFormat="1" applyFont="1" applyFill="1" applyBorder="1" applyAlignment="1">
      <alignment horizontal="center" vertical="center"/>
    </xf>
    <xf numFmtId="3" fontId="30" fillId="6" borderId="3" xfId="1" applyNumberFormat="1" applyFont="1" applyFill="1" applyBorder="1" applyAlignment="1">
      <alignment horizontal="center" vertical="center"/>
    </xf>
    <xf numFmtId="3" fontId="30" fillId="6" borderId="4" xfId="1" applyNumberFormat="1" applyFont="1" applyFill="1" applyBorder="1" applyAlignment="1">
      <alignment horizontal="center" vertical="center"/>
    </xf>
    <xf numFmtId="0" fontId="51" fillId="6" borderId="1" xfId="2" applyNumberFormat="1" applyFont="1" applyFill="1" applyBorder="1" applyAlignment="1" applyProtection="1">
      <alignment horizontal="left" vertical="center" wrapText="1"/>
      <protection locked="0"/>
    </xf>
    <xf numFmtId="10" fontId="52" fillId="6" borderId="2" xfId="2" applyNumberFormat="1" applyFont="1" applyFill="1" applyBorder="1" applyAlignment="1" applyProtection="1">
      <alignment horizontal="center" vertical="center"/>
      <protection locked="0"/>
    </xf>
    <xf numFmtId="10" fontId="52" fillId="6" borderId="4" xfId="2" applyNumberFormat="1" applyFont="1" applyFill="1" applyBorder="1" applyAlignment="1" applyProtection="1">
      <alignment horizontal="center" vertical="center"/>
      <protection locked="0"/>
    </xf>
    <xf numFmtId="3" fontId="52" fillId="6" borderId="2" xfId="1" applyNumberFormat="1" applyFont="1" applyFill="1" applyBorder="1" applyAlignment="1" applyProtection="1">
      <alignment horizontal="center" vertical="center"/>
      <protection locked="0"/>
    </xf>
    <xf numFmtId="3" fontId="52" fillId="6" borderId="4" xfId="1" applyNumberFormat="1" applyFont="1" applyFill="1" applyBorder="1" applyAlignment="1" applyProtection="1">
      <alignment horizontal="center" vertical="center"/>
      <protection locked="0"/>
    </xf>
    <xf numFmtId="0" fontId="50" fillId="0" borderId="10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0" fontId="50" fillId="0" borderId="13" xfId="0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3" fontId="8" fillId="6" borderId="2" xfId="1" applyNumberFormat="1" applyFont="1" applyFill="1" applyBorder="1" applyAlignment="1">
      <alignment horizontal="center" vertical="center"/>
    </xf>
    <xf numFmtId="3" fontId="8" fillId="6" borderId="3" xfId="1" applyNumberFormat="1" applyFont="1" applyFill="1" applyBorder="1" applyAlignment="1">
      <alignment horizontal="center" vertical="center"/>
    </xf>
    <xf numFmtId="3" fontId="8" fillId="6" borderId="4" xfId="1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0" fillId="6" borderId="3" xfId="0" applyFill="1" applyBorder="1" applyAlignment="1">
      <alignment horizontal="left" vertical="center" wrapText="1"/>
    </xf>
    <xf numFmtId="9" fontId="9" fillId="6" borderId="1" xfId="2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center"/>
    </xf>
    <xf numFmtId="0" fontId="39" fillId="4" borderId="0" xfId="0" applyFont="1" applyFill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0" fontId="35" fillId="6" borderId="2" xfId="3" applyFont="1" applyFill="1" applyBorder="1" applyAlignment="1">
      <alignment horizontal="center" vertical="center" wrapText="1"/>
    </xf>
    <xf numFmtId="0" fontId="35" fillId="6" borderId="3" xfId="3" applyFont="1" applyFill="1" applyBorder="1" applyAlignment="1">
      <alignment horizontal="center" vertical="center" wrapText="1"/>
    </xf>
    <xf numFmtId="0" fontId="35" fillId="6" borderId="4" xfId="3" applyFont="1" applyFill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35" fillId="0" borderId="4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 wrapText="1"/>
    </xf>
    <xf numFmtId="9" fontId="14" fillId="2" borderId="0" xfId="2" applyFont="1" applyFill="1" applyBorder="1" applyAlignment="1">
      <alignment horizontal="center" vertical="center"/>
    </xf>
    <xf numFmtId="9" fontId="14" fillId="6" borderId="0" xfId="2" applyFont="1" applyFill="1" applyBorder="1" applyAlignment="1">
      <alignment vertical="center"/>
    </xf>
    <xf numFmtId="166" fontId="14" fillId="6" borderId="0" xfId="0" applyNumberFormat="1" applyFont="1" applyFill="1" applyBorder="1" applyAlignment="1">
      <alignment horizontal="left" vertical="center"/>
    </xf>
    <xf numFmtId="9" fontId="14" fillId="6" borderId="0" xfId="2" applyFont="1" applyFill="1" applyBorder="1" applyAlignment="1">
      <alignment horizontal="center" vertical="center"/>
    </xf>
    <xf numFmtId="168" fontId="53" fillId="6" borderId="0" xfId="0" applyNumberFormat="1" applyFont="1" applyFill="1"/>
    <xf numFmtId="166" fontId="20" fillId="6" borderId="0" xfId="0" applyNumberFormat="1" applyFont="1" applyFill="1" applyBorder="1" applyAlignment="1">
      <alignment vertical="center"/>
    </xf>
    <xf numFmtId="166" fontId="17" fillId="6" borderId="0" xfId="0" applyNumberFormat="1" applyFont="1" applyFill="1" applyBorder="1" applyAlignment="1">
      <alignment vertical="center"/>
    </xf>
    <xf numFmtId="166" fontId="14" fillId="6" borderId="0" xfId="0" applyNumberFormat="1" applyFont="1" applyFill="1"/>
  </cellXfs>
  <cellStyles count="6">
    <cellStyle name="Обычный" xfId="0" builtinId="0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1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4" dropStyle="combo" dx="22" fmlaLink="$O$2" fmlaRange="$P$2:$P$5" sel="1" val="0"/>
</file>

<file path=xl/ctrlProps/ctrlProp2.xml><?xml version="1.0" encoding="utf-8"?>
<formControlPr xmlns="http://schemas.microsoft.com/office/spreadsheetml/2009/9/main" objectType="Drop" dropLines="12" dropStyle="combo" dx="22" fmlaLink="Q$2" fmlaRange="$R$2:$R$13" sel="1" val="0"/>
</file>

<file path=xl/ctrlProps/ctrlProp3.xml><?xml version="1.0" encoding="utf-8"?>
<formControlPr xmlns="http://schemas.microsoft.com/office/spreadsheetml/2009/9/main" objectType="Drop" dropLines="2" dropStyle="combo" dx="22" fmlaLink="$N$1" fmlaRange="$O$1:$O$2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5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52274</xdr:colOff>
      <xdr:row>65</xdr:row>
      <xdr:rowOff>23700</xdr:rowOff>
    </xdr:from>
    <xdr:to>
      <xdr:col>0</xdr:col>
      <xdr:colOff>592274</xdr:colOff>
      <xdr:row>65</xdr:row>
      <xdr:rowOff>515580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4074325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66</xdr:row>
      <xdr:rowOff>21300</xdr:rowOff>
    </xdr:from>
    <xdr:to>
      <xdr:col>0</xdr:col>
      <xdr:colOff>553875</xdr:colOff>
      <xdr:row>66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54</xdr:row>
      <xdr:rowOff>9525</xdr:rowOff>
    </xdr:from>
    <xdr:to>
      <xdr:col>0</xdr:col>
      <xdr:colOff>551625</xdr:colOff>
      <xdr:row>54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31</xdr:row>
      <xdr:rowOff>28578</xdr:rowOff>
    </xdr:from>
    <xdr:to>
      <xdr:col>0</xdr:col>
      <xdr:colOff>546867</xdr:colOff>
      <xdr:row>31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613410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29</xdr:row>
      <xdr:rowOff>12814</xdr:rowOff>
    </xdr:from>
    <xdr:to>
      <xdr:col>0</xdr:col>
      <xdr:colOff>551622</xdr:colOff>
      <xdr:row>29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30</xdr:row>
      <xdr:rowOff>23815</xdr:rowOff>
    </xdr:from>
    <xdr:to>
      <xdr:col>0</xdr:col>
      <xdr:colOff>554426</xdr:colOff>
      <xdr:row>30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19</xdr:row>
      <xdr:rowOff>0</xdr:rowOff>
    </xdr:from>
    <xdr:to>
      <xdr:col>0</xdr:col>
      <xdr:colOff>551624</xdr:colOff>
      <xdr:row>19</xdr:row>
      <xdr:rowOff>504000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3534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28</xdr:row>
      <xdr:rowOff>90</xdr:rowOff>
    </xdr:from>
    <xdr:to>
      <xdr:col>0</xdr:col>
      <xdr:colOff>551623</xdr:colOff>
      <xdr:row>28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61</xdr:row>
      <xdr:rowOff>19050</xdr:rowOff>
    </xdr:from>
    <xdr:to>
      <xdr:col>0</xdr:col>
      <xdr:colOff>551625</xdr:colOff>
      <xdr:row>61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621030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57</xdr:row>
      <xdr:rowOff>22412</xdr:rowOff>
    </xdr:from>
    <xdr:to>
      <xdr:col>0</xdr:col>
      <xdr:colOff>548824</xdr:colOff>
      <xdr:row>57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24</xdr:row>
      <xdr:rowOff>501742</xdr:rowOff>
    </xdr:from>
    <xdr:to>
      <xdr:col>0</xdr:col>
      <xdr:colOff>560030</xdr:colOff>
      <xdr:row>25</xdr:row>
      <xdr:rowOff>472903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56</xdr:row>
      <xdr:rowOff>0</xdr:rowOff>
    </xdr:from>
    <xdr:to>
      <xdr:col>0</xdr:col>
      <xdr:colOff>551630</xdr:colOff>
      <xdr:row>56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59</xdr:row>
      <xdr:rowOff>9526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93" y="2529840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47630</xdr:colOff>
      <xdr:row>55</xdr:row>
      <xdr:rowOff>4763</xdr:rowOff>
    </xdr:from>
    <xdr:to>
      <xdr:col>0</xdr:col>
      <xdr:colOff>551630</xdr:colOff>
      <xdr:row>55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60</xdr:row>
      <xdr:rowOff>0</xdr:rowOff>
    </xdr:from>
    <xdr:to>
      <xdr:col>0</xdr:col>
      <xdr:colOff>556393</xdr:colOff>
      <xdr:row>60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20</xdr:row>
      <xdr:rowOff>21775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393" y="2533106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38104</xdr:colOff>
      <xdr:row>63</xdr:row>
      <xdr:rowOff>9526</xdr:rowOff>
    </xdr:from>
    <xdr:to>
      <xdr:col>0</xdr:col>
      <xdr:colOff>542104</xdr:colOff>
      <xdr:row>63</xdr:row>
      <xdr:rowOff>513526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4" y="2313146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24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32658</xdr:colOff>
      <xdr:row>25</xdr:row>
      <xdr:rowOff>527957</xdr:rowOff>
    </xdr:from>
    <xdr:to>
      <xdr:col>0</xdr:col>
      <xdr:colOff>536658</xdr:colOff>
      <xdr:row>26</xdr:row>
      <xdr:rowOff>494073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8625457"/>
          <a:ext cx="504000" cy="499516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64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1376600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27215</xdr:colOff>
      <xdr:row>27</xdr:row>
      <xdr:rowOff>0</xdr:rowOff>
    </xdr:from>
    <xdr:to>
      <xdr:col>0</xdr:col>
      <xdr:colOff>567215</xdr:colOff>
      <xdr:row>27</xdr:row>
      <xdr:rowOff>491880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12143014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23</xdr:row>
      <xdr:rowOff>0</xdr:rowOff>
    </xdr:from>
    <xdr:to>
      <xdr:col>0</xdr:col>
      <xdr:colOff>558430</xdr:colOff>
      <xdr:row>23</xdr:row>
      <xdr:rowOff>507174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10009414"/>
          <a:ext cx="504000" cy="50717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62</xdr:row>
      <xdr:rowOff>0</xdr:rowOff>
    </xdr:from>
    <xdr:to>
      <xdr:col>0</xdr:col>
      <xdr:colOff>548554</xdr:colOff>
      <xdr:row>62</xdr:row>
      <xdr:rowOff>504000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544" y="34888714"/>
          <a:ext cx="50501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22</xdr:row>
      <xdr:rowOff>0</xdr:rowOff>
    </xdr:from>
    <xdr:to>
      <xdr:col>0</xdr:col>
      <xdr:colOff>542101</xdr:colOff>
      <xdr:row>22</xdr:row>
      <xdr:rowOff>506241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1" y="9476014"/>
          <a:ext cx="504000" cy="506241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58</xdr:row>
      <xdr:rowOff>0</xdr:rowOff>
    </xdr:from>
    <xdr:to>
      <xdr:col>0</xdr:col>
      <xdr:colOff>536658</xdr:colOff>
      <xdr:row>58</xdr:row>
      <xdr:rowOff>506722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8264757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21</xdr:row>
      <xdr:rowOff>0</xdr:rowOff>
    </xdr:from>
    <xdr:to>
      <xdr:col>0</xdr:col>
      <xdr:colOff>542101</xdr:colOff>
      <xdr:row>21</xdr:row>
      <xdr:rowOff>499516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9476014"/>
          <a:ext cx="504000" cy="4995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52274</xdr:colOff>
      <xdr:row>52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53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40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27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25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26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15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24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48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44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20</xdr:row>
      <xdr:rowOff>501742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43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46</xdr:row>
      <xdr:rowOff>9526</xdr:rowOff>
    </xdr:from>
    <xdr:ext cx="504000" cy="50400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93" y="1646872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41</xdr:row>
      <xdr:rowOff>0</xdr:rowOff>
    </xdr:from>
    <xdr:ext cx="504000" cy="504000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3" y="155448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42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47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71445</xdr:colOff>
      <xdr:row>39</xdr:row>
      <xdr:rowOff>0</xdr:rowOff>
    </xdr:from>
    <xdr:ext cx="479937" cy="504000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45" y="1499616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50</xdr:row>
      <xdr:rowOff>9526</xdr:rowOff>
    </xdr:from>
    <xdr:ext cx="504000" cy="504000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104" y="1701736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20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331470</xdr:colOff>
          <xdr:row>3</xdr:row>
          <xdr:rowOff>106680</xdr:rowOff>
        </xdr:from>
        <xdr:to>
          <xdr:col>3</xdr:col>
          <xdr:colOff>800100</xdr:colOff>
          <xdr:row>3</xdr:row>
          <xdr:rowOff>392430</xdr:rowOff>
        </xdr:to>
        <xdr:sp macro="" textlink="">
          <xdr:nvSpPr>
            <xdr:cNvPr id="6149" name="Drop Down 1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57836</xdr:colOff>
      <xdr:row>16</xdr:row>
      <xdr:rowOff>4768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7836" y="1399835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21</xdr:row>
      <xdr:rowOff>527957</xdr:rowOff>
    </xdr:from>
    <xdr:ext cx="504000" cy="499516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12812486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51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54430</xdr:colOff>
      <xdr:row>19</xdr:row>
      <xdr:rowOff>0</xdr:rowOff>
    </xdr:from>
    <xdr:to>
      <xdr:col>0</xdr:col>
      <xdr:colOff>558430</xdr:colOff>
      <xdr:row>19</xdr:row>
      <xdr:rowOff>507174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8594271"/>
          <a:ext cx="504000" cy="5071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18</xdr:row>
      <xdr:rowOff>0</xdr:rowOff>
    </xdr:from>
    <xdr:to>
      <xdr:col>0</xdr:col>
      <xdr:colOff>542101</xdr:colOff>
      <xdr:row>18</xdr:row>
      <xdr:rowOff>506241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8101" y="8060871"/>
          <a:ext cx="504000" cy="5062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540000</xdr:colOff>
      <xdr:row>23</xdr:row>
      <xdr:rowOff>491880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27871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45</xdr:row>
      <xdr:rowOff>0</xdr:rowOff>
    </xdr:from>
    <xdr:to>
      <xdr:col>0</xdr:col>
      <xdr:colOff>547544</xdr:colOff>
      <xdr:row>45</xdr:row>
      <xdr:rowOff>506722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2181497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49</xdr:row>
      <xdr:rowOff>0</xdr:rowOff>
    </xdr:from>
    <xdr:to>
      <xdr:col>0</xdr:col>
      <xdr:colOff>537668</xdr:colOff>
      <xdr:row>49</xdr:row>
      <xdr:rowOff>504000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658" y="23948571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32658</xdr:colOff>
      <xdr:row>17</xdr:row>
      <xdr:rowOff>0</xdr:rowOff>
    </xdr:from>
    <xdr:ext cx="504000" cy="499516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8060871"/>
          <a:ext cx="504000" cy="499516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8"/>
  <sheetViews>
    <sheetView showGridLines="0" topLeftCell="A3" zoomScale="70" zoomScaleNormal="70" zoomScaleSheetLayoutView="85" workbookViewId="0">
      <selection activeCell="C14" sqref="C14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6.41796875" customWidth="1"/>
    <col min="4" max="4" width="24.15625" customWidth="1"/>
    <col min="5" max="5" width="16.41796875" customWidth="1"/>
    <col min="6" max="6" width="22.05078125" customWidth="1"/>
    <col min="7" max="7" width="18.20703125" customWidth="1"/>
    <col min="8" max="8" width="25.3125" customWidth="1"/>
    <col min="9" max="9" width="14.83984375" customWidth="1"/>
    <col min="10" max="10" width="16.41796875" customWidth="1"/>
    <col min="11" max="11" width="30.7890625" customWidth="1"/>
    <col min="12" max="12" width="11.83984375" customWidth="1"/>
    <col min="13" max="13" width="9.15625" customWidth="1"/>
    <col min="14" max="14" width="9.15625" hidden="1" customWidth="1"/>
    <col min="15" max="15" width="1.68359375" hidden="1" customWidth="1"/>
    <col min="16" max="16" width="4.26171875" hidden="1" customWidth="1"/>
    <col min="17" max="17" width="1.68359375" hidden="1" customWidth="1"/>
    <col min="18" max="18" width="8.15625" hidden="1" customWidth="1"/>
    <col min="19" max="21" width="8.83984375" customWidth="1"/>
  </cols>
  <sheetData>
    <row r="1" spans="1:21" ht="34.200000000000003" customHeight="1" x14ac:dyDescent="0.6">
      <c r="A1" s="218" t="s">
        <v>5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83"/>
    </row>
    <row r="2" spans="1:21" ht="34.200000000000003" customHeight="1" x14ac:dyDescent="0.55000000000000004">
      <c r="A2" s="221" t="s">
        <v>116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162"/>
      <c r="O2" s="79">
        <v>1</v>
      </c>
      <c r="P2" s="85" t="s">
        <v>66</v>
      </c>
      <c r="Q2" s="99">
        <v>1</v>
      </c>
      <c r="R2" s="99" t="s">
        <v>25</v>
      </c>
      <c r="T2" s="99"/>
      <c r="U2" s="99"/>
    </row>
    <row r="3" spans="1:21" ht="34.200000000000003" customHeight="1" x14ac:dyDescent="0.55000000000000004">
      <c r="A3" s="78" t="s">
        <v>50</v>
      </c>
      <c r="B3" s="84"/>
      <c r="K3" s="76"/>
      <c r="L3" s="176"/>
      <c r="M3" s="77"/>
      <c r="O3" s="85"/>
      <c r="P3" s="85" t="str">
        <f>E5</f>
        <v>UAH</v>
      </c>
      <c r="Q3" s="99"/>
      <c r="R3" s="99" t="s">
        <v>26</v>
      </c>
      <c r="T3" s="99"/>
      <c r="U3" s="99"/>
    </row>
    <row r="4" spans="1:21" ht="34.200000000000003" customHeight="1" x14ac:dyDescent="0.55000000000000004">
      <c r="A4" s="151" t="s">
        <v>24</v>
      </c>
      <c r="B4" s="84"/>
      <c r="I4" s="148"/>
      <c r="K4" s="76"/>
      <c r="L4" s="76"/>
      <c r="M4" s="77"/>
      <c r="O4" s="85"/>
      <c r="P4" s="85" t="str">
        <f>G5</f>
        <v>EUR</v>
      </c>
      <c r="Q4" s="99"/>
      <c r="R4" s="99" t="s">
        <v>53</v>
      </c>
    </row>
    <row r="5" spans="1:21" ht="46.5" customHeight="1" x14ac:dyDescent="0.55000000000000004">
      <c r="A5" s="229" t="s">
        <v>94</v>
      </c>
      <c r="B5" s="229"/>
      <c r="C5" s="229"/>
      <c r="D5" s="230"/>
      <c r="E5" s="173" t="s">
        <v>65</v>
      </c>
      <c r="F5" s="174">
        <v>28</v>
      </c>
      <c r="G5" s="231" t="s">
        <v>67</v>
      </c>
      <c r="H5" s="232"/>
      <c r="I5" s="174">
        <v>0.84850000000000003</v>
      </c>
      <c r="J5" s="173" t="s">
        <v>68</v>
      </c>
      <c r="K5" s="174">
        <v>58.32</v>
      </c>
      <c r="L5" s="76"/>
      <c r="M5" s="77"/>
      <c r="O5" s="85"/>
      <c r="P5" s="85" t="str">
        <f>J5</f>
        <v>RUB</v>
      </c>
      <c r="Q5" s="99"/>
      <c r="R5" s="99" t="s">
        <v>54</v>
      </c>
    </row>
    <row r="6" spans="1:21" ht="17.7" customHeight="1" x14ac:dyDescent="0.55000000000000004">
      <c r="A6" s="80"/>
      <c r="P6" s="85"/>
      <c r="Q6" s="99"/>
      <c r="R6" s="99" t="s">
        <v>55</v>
      </c>
    </row>
    <row r="7" spans="1:21" ht="46.5" customHeight="1" x14ac:dyDescent="0.55000000000000004">
      <c r="A7" s="233" t="s">
        <v>107</v>
      </c>
      <c r="B7" s="233"/>
      <c r="C7" s="233"/>
      <c r="D7" s="240" t="s">
        <v>118</v>
      </c>
      <c r="E7" s="241"/>
      <c r="F7" s="241"/>
      <c r="G7" s="242"/>
      <c r="H7" s="243" t="s">
        <v>119</v>
      </c>
      <c r="I7" s="244"/>
      <c r="J7" s="244"/>
      <c r="K7" s="245"/>
      <c r="L7" s="76"/>
      <c r="M7" s="77"/>
      <c r="O7" s="85"/>
      <c r="P7" s="85"/>
      <c r="Q7" s="99"/>
      <c r="R7" s="99" t="s">
        <v>84</v>
      </c>
    </row>
    <row r="8" spans="1:21" ht="17.7" customHeight="1" x14ac:dyDescent="0.55000000000000004">
      <c r="A8" s="80"/>
      <c r="P8" s="85"/>
      <c r="Q8" s="99"/>
      <c r="R8" s="99" t="s">
        <v>27</v>
      </c>
    </row>
    <row r="9" spans="1:21" ht="34.200000000000003" customHeight="1" x14ac:dyDescent="0.55000000000000004">
      <c r="A9" s="80" t="s">
        <v>52</v>
      </c>
      <c r="P9" s="85"/>
      <c r="Q9" s="99"/>
      <c r="R9" s="99" t="s">
        <v>28</v>
      </c>
    </row>
    <row r="10" spans="1:21" s="1" customFormat="1" ht="36" customHeight="1" x14ac:dyDescent="0.6">
      <c r="A10" s="251" t="s">
        <v>106</v>
      </c>
      <c r="B10" s="251"/>
      <c r="C10" s="237" t="s">
        <v>123</v>
      </c>
      <c r="D10" s="237"/>
      <c r="E10" s="237"/>
      <c r="F10" s="237"/>
      <c r="G10" s="237"/>
      <c r="H10" s="237"/>
      <c r="I10" s="237" t="s">
        <v>124</v>
      </c>
      <c r="J10" s="237"/>
      <c r="K10" s="237"/>
      <c r="L10" s="71"/>
      <c r="O10" s="71"/>
      <c r="P10" s="73"/>
      <c r="Q10" s="100"/>
      <c r="R10" s="87" t="s">
        <v>29</v>
      </c>
      <c r="S10" s="74"/>
    </row>
    <row r="11" spans="1:21" s="1" customFormat="1" ht="32.700000000000003" customHeight="1" x14ac:dyDescent="0.55000000000000004">
      <c r="A11" s="251"/>
      <c r="B11" s="251"/>
      <c r="C11" s="225" t="str">
        <f>D7</f>
        <v>Премиум</v>
      </c>
      <c r="D11" s="226"/>
      <c r="E11" s="227"/>
      <c r="F11" s="225" t="str">
        <f>H7</f>
        <v>Бизнес</v>
      </c>
      <c r="G11" s="226"/>
      <c r="H11" s="227"/>
      <c r="I11" s="237" t="str">
        <f>C11</f>
        <v>Премиум</v>
      </c>
      <c r="J11" s="237"/>
      <c r="K11" s="237" t="str">
        <f>F11</f>
        <v>Бизнес</v>
      </c>
      <c r="L11" s="71"/>
      <c r="O11" s="71"/>
      <c r="P11" s="73"/>
      <c r="Q11" s="100"/>
      <c r="R11" s="99" t="s">
        <v>30</v>
      </c>
      <c r="S11" s="74"/>
    </row>
    <row r="12" spans="1:21" s="1" customFormat="1" ht="42" customHeight="1" x14ac:dyDescent="0.55000000000000004">
      <c r="A12" s="251"/>
      <c r="B12" s="251"/>
      <c r="C12" s="189" t="s">
        <v>66</v>
      </c>
      <c r="D12" s="237" t="str">
        <f>"В валюте, в которой производиться расчет, "&amp;CHOOSE($O$2,$P$2,$P$3,$P$4,$P$5)&amp;""</f>
        <v>В валюте, в которой производиться расчет, USD</v>
      </c>
      <c r="E12" s="237"/>
      <c r="F12" s="189" t="s">
        <v>66</v>
      </c>
      <c r="G12" s="237" t="str">
        <f>"В валюте, в которой производиться расчет, "&amp;CHOOSE($O$2,$P$2,$P$3,$P$4,$P$5)&amp;""</f>
        <v>В валюте, в которой производиться расчет, USD</v>
      </c>
      <c r="H12" s="237"/>
      <c r="I12" s="237"/>
      <c r="J12" s="237"/>
      <c r="K12" s="237"/>
      <c r="L12" s="71"/>
      <c r="O12" s="71"/>
      <c r="P12" s="73"/>
      <c r="Q12" s="100"/>
      <c r="R12" s="99" t="s">
        <v>31</v>
      </c>
      <c r="S12" s="74"/>
    </row>
    <row r="13" spans="1:21" s="1" customFormat="1" ht="35.049999999999997" customHeight="1" x14ac:dyDescent="0.55000000000000004">
      <c r="A13" s="206" t="s">
        <v>120</v>
      </c>
      <c r="B13" s="206"/>
      <c r="C13" s="195">
        <f>200000/$F$5</f>
        <v>7142.8571428571431</v>
      </c>
      <c r="D13" s="215">
        <f>C13*CHOOSE($O$2,1,$F$5,$I$5,$K$5)</f>
        <v>7142.8571428571431</v>
      </c>
      <c r="E13" s="215"/>
      <c r="F13" s="190"/>
      <c r="G13" s="215"/>
      <c r="H13" s="215"/>
      <c r="I13" s="214">
        <v>0.3</v>
      </c>
      <c r="J13" s="214"/>
      <c r="K13" s="196"/>
      <c r="L13" s="71"/>
      <c r="O13" s="71"/>
      <c r="P13" s="73"/>
      <c r="Q13" s="100"/>
      <c r="R13" s="99" t="s">
        <v>32</v>
      </c>
      <c r="S13" s="74"/>
    </row>
    <row r="14" spans="1:21" ht="35.049999999999997" customHeight="1" x14ac:dyDescent="0.55000000000000004">
      <c r="A14" s="206" t="s">
        <v>121</v>
      </c>
      <c r="B14" s="206"/>
      <c r="C14" s="195">
        <f>200000/$F$5</f>
        <v>7142.8571428571431</v>
      </c>
      <c r="D14" s="215">
        <f t="shared" ref="D14:D15" si="0">C14*CHOOSE($O$2,1,$F$5,$I$5,$K$5)</f>
        <v>7142.8571428571431</v>
      </c>
      <c r="E14" s="215"/>
      <c r="F14" s="190"/>
      <c r="G14" s="215"/>
      <c r="H14" s="215"/>
      <c r="I14" s="214">
        <v>0.3</v>
      </c>
      <c r="J14" s="214"/>
      <c r="K14" s="196"/>
      <c r="L14" s="81"/>
      <c r="O14" s="99"/>
      <c r="P14" s="99"/>
      <c r="Q14" s="75"/>
      <c r="S14" s="75"/>
    </row>
    <row r="15" spans="1:21" ht="35.049999999999997" customHeight="1" x14ac:dyDescent="0.55000000000000004">
      <c r="A15" s="206" t="s">
        <v>122</v>
      </c>
      <c r="B15" s="206"/>
      <c r="C15" s="195">
        <f>160000/$F$5</f>
        <v>5714.2857142857147</v>
      </c>
      <c r="D15" s="215">
        <f t="shared" si="0"/>
        <v>5714.2857142857147</v>
      </c>
      <c r="E15" s="215"/>
      <c r="F15" s="195">
        <f>160000/$F$5</f>
        <v>5714.2857142857147</v>
      </c>
      <c r="G15" s="215">
        <f>F15*CHOOSE($O$2,1,$F$5,$I$5,$K$5)</f>
        <v>5714.2857142857147</v>
      </c>
      <c r="H15" s="215"/>
      <c r="I15" s="214">
        <v>0.2</v>
      </c>
      <c r="J15" s="214"/>
      <c r="K15" s="194">
        <v>0.2</v>
      </c>
      <c r="M15" s="170"/>
    </row>
    <row r="16" spans="1:21" ht="34.200000000000003" customHeight="1" x14ac:dyDescent="0.55000000000000004">
      <c r="A16" s="212"/>
      <c r="B16" s="213"/>
      <c r="C16" s="213"/>
      <c r="D16" s="213"/>
      <c r="E16" s="213"/>
      <c r="F16" s="213"/>
      <c r="G16" s="213"/>
      <c r="H16" s="213"/>
      <c r="I16" s="213"/>
      <c r="J16" s="213"/>
      <c r="K16" s="213"/>
    </row>
    <row r="17" spans="1:28" ht="34.200000000000003" customHeight="1" x14ac:dyDescent="0.55000000000000004">
      <c r="A17" s="185" t="s">
        <v>57</v>
      </c>
      <c r="H17" s="4"/>
      <c r="I17" s="4"/>
      <c r="J17" s="4"/>
    </row>
    <row r="18" spans="1:28" ht="34.200000000000003" customHeight="1" x14ac:dyDescent="0.55000000000000004">
      <c r="A18" s="185"/>
      <c r="D18" s="237" t="str">
        <f>D7</f>
        <v>Премиум</v>
      </c>
      <c r="E18" s="237"/>
      <c r="F18" s="237"/>
      <c r="G18" s="237"/>
      <c r="H18" s="237" t="str">
        <f>H7</f>
        <v>Бизнес</v>
      </c>
      <c r="I18" s="237"/>
      <c r="J18" s="237"/>
      <c r="K18" s="237"/>
    </row>
    <row r="19" spans="1:28" ht="44.4" customHeight="1" x14ac:dyDescent="0.6">
      <c r="D19" s="237" t="s">
        <v>66</v>
      </c>
      <c r="E19" s="237"/>
      <c r="F19" s="237" t="str">
        <f>"В валюте, в которой производиться расчет, "&amp;CHOOSE($O$2,$P$2,$P$3,$P$4,$P$5)&amp;""</f>
        <v>В валюте, в которой производиться расчет, USD</v>
      </c>
      <c r="G19" s="237"/>
      <c r="H19" s="237" t="s">
        <v>66</v>
      </c>
      <c r="I19" s="237"/>
      <c r="J19" s="237" t="str">
        <f>"В валюте, в которой производиться расчет, "&amp;CHOOSE($O$2,$P$2,$P$3,$P$4,$P$5)&amp;""</f>
        <v>В валюте, в которой производиться расчет, USD</v>
      </c>
      <c r="K19" s="237"/>
      <c r="L19" s="86"/>
      <c r="M19" s="86"/>
      <c r="P19" s="87"/>
      <c r="Q19" s="87"/>
      <c r="S19" s="87"/>
      <c r="T19" s="87"/>
      <c r="U19" s="87"/>
      <c r="V19" s="87"/>
      <c r="W19" s="87"/>
      <c r="X19" s="87"/>
      <c r="Y19" s="87"/>
      <c r="Z19" s="87"/>
      <c r="AA19" s="87"/>
      <c r="AB19" s="87"/>
    </row>
    <row r="20" spans="1:28" ht="42" customHeight="1" x14ac:dyDescent="0.6">
      <c r="A20" s="86"/>
      <c r="B20" s="204" t="s">
        <v>45</v>
      </c>
      <c r="C20" s="205"/>
      <c r="D20" s="207">
        <v>0</v>
      </c>
      <c r="E20" s="207"/>
      <c r="F20" s="208">
        <f t="shared" ref="F20:F31" si="1">D20*CHOOSE($O$2,1,$F$5,$I$5,$K$5)</f>
        <v>0</v>
      </c>
      <c r="G20" s="208"/>
      <c r="H20" s="207">
        <v>0</v>
      </c>
      <c r="I20" s="207"/>
      <c r="J20" s="208">
        <f>H20*CHOOSE($O$2,1,$F$5,$I$5,$K$5)</f>
        <v>0</v>
      </c>
      <c r="K20" s="208"/>
      <c r="L20" s="88"/>
      <c r="O20" s="87"/>
      <c r="P20" s="87"/>
      <c r="Q20" s="87"/>
      <c r="S20" s="87"/>
      <c r="T20" s="87"/>
      <c r="U20" s="87"/>
      <c r="V20" s="87"/>
      <c r="W20" s="87"/>
      <c r="X20" s="87"/>
      <c r="Y20" s="87"/>
      <c r="Z20" s="87"/>
      <c r="AA20" s="87"/>
    </row>
    <row r="21" spans="1:28" ht="42" customHeight="1" x14ac:dyDescent="0.6">
      <c r="A21" s="86"/>
      <c r="B21" s="222" t="s">
        <v>133</v>
      </c>
      <c r="C21" s="223"/>
      <c r="D21" s="207">
        <f>10000/$F$5</f>
        <v>357.14285714285717</v>
      </c>
      <c r="E21" s="207"/>
      <c r="F21" s="208">
        <f t="shared" si="1"/>
        <v>357.14285714285717</v>
      </c>
      <c r="G21" s="208"/>
      <c r="H21" s="207">
        <f>10000/$F$5</f>
        <v>357.14285714285717</v>
      </c>
      <c r="I21" s="207"/>
      <c r="J21" s="208">
        <f>H21*CHOOSE($O$2,1,$F$5,$I$5,$K$5)</f>
        <v>357.14285714285717</v>
      </c>
      <c r="K21" s="208"/>
      <c r="L21" s="88"/>
      <c r="O21" s="87"/>
      <c r="P21" s="87"/>
      <c r="Q21" s="87"/>
      <c r="S21" s="87"/>
      <c r="T21" s="87"/>
      <c r="U21" s="87"/>
      <c r="V21" s="87"/>
      <c r="W21" s="87"/>
      <c r="X21" s="87"/>
      <c r="Y21" s="87"/>
      <c r="Z21" s="87"/>
      <c r="AA21" s="87"/>
    </row>
    <row r="22" spans="1:28" ht="42" customHeight="1" x14ac:dyDescent="0.6">
      <c r="A22" s="86"/>
      <c r="B22" s="222" t="s">
        <v>148</v>
      </c>
      <c r="C22" s="223"/>
      <c r="D22" s="208">
        <f>'Инвестиции в оборудование'!F13</f>
        <v>14500</v>
      </c>
      <c r="E22" s="208"/>
      <c r="F22" s="208">
        <f t="shared" ref="F22" si="2">D22*CHOOSE($O$2,1,$F$5,$I$5,$K$5)</f>
        <v>14500</v>
      </c>
      <c r="G22" s="208"/>
      <c r="H22" s="208">
        <f>'Инвестиции в оборудование'!I13</f>
        <v>14500</v>
      </c>
      <c r="I22" s="208"/>
      <c r="J22" s="208">
        <f>H22*CHOOSE($O$2,1,$F$5,$I$5,$K$5)</f>
        <v>14500</v>
      </c>
      <c r="K22" s="208"/>
      <c r="L22" s="88"/>
      <c r="O22" s="87"/>
      <c r="P22" s="87"/>
      <c r="Q22" s="87"/>
      <c r="S22" s="87"/>
      <c r="T22" s="87"/>
      <c r="U22" s="87"/>
      <c r="V22" s="87"/>
      <c r="W22" s="87"/>
      <c r="X22" s="87"/>
      <c r="Y22" s="87"/>
      <c r="Z22" s="87"/>
      <c r="AA22" s="87"/>
    </row>
    <row r="23" spans="1:28" ht="42" customHeight="1" x14ac:dyDescent="0.6">
      <c r="A23" s="86"/>
      <c r="B23" s="222" t="s">
        <v>125</v>
      </c>
      <c r="C23" s="223"/>
      <c r="D23" s="207">
        <f>10000/$F$5</f>
        <v>357.14285714285717</v>
      </c>
      <c r="E23" s="207"/>
      <c r="F23" s="208">
        <f t="shared" si="1"/>
        <v>357.14285714285717</v>
      </c>
      <c r="G23" s="208"/>
      <c r="H23" s="207">
        <f>10000/$F$5</f>
        <v>357.14285714285717</v>
      </c>
      <c r="I23" s="207"/>
      <c r="J23" s="208">
        <f>H23*CHOOSE($O$2,1,$F$5,$I$5,$K$5)</f>
        <v>357.14285714285717</v>
      </c>
      <c r="K23" s="208"/>
      <c r="L23" s="88"/>
      <c r="O23" s="87"/>
      <c r="P23" s="87"/>
      <c r="Q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8" ht="42" customHeight="1" x14ac:dyDescent="0.6">
      <c r="A24" s="86"/>
      <c r="B24" s="222" t="s">
        <v>126</v>
      </c>
      <c r="C24" s="223"/>
      <c r="D24" s="207">
        <f>10000/$F$5</f>
        <v>357.14285714285717</v>
      </c>
      <c r="E24" s="207"/>
      <c r="F24" s="208">
        <f t="shared" si="1"/>
        <v>357.14285714285717</v>
      </c>
      <c r="G24" s="208"/>
      <c r="H24" s="207">
        <f>10000/$F$5</f>
        <v>357.14285714285717</v>
      </c>
      <c r="I24" s="207"/>
      <c r="J24" s="208">
        <f>H24*CHOOSE($O$2,1,$F$5,$I$5,$K$5)</f>
        <v>357.14285714285717</v>
      </c>
      <c r="K24" s="208"/>
      <c r="L24" s="88"/>
      <c r="O24" s="87"/>
      <c r="P24" s="87"/>
      <c r="Q24" s="87"/>
      <c r="S24" s="87"/>
      <c r="T24" s="87"/>
      <c r="U24" s="87"/>
      <c r="V24" s="87"/>
      <c r="W24" s="87"/>
      <c r="X24" s="87"/>
      <c r="Y24" s="87"/>
      <c r="Z24" s="87"/>
      <c r="AA24" s="87"/>
    </row>
    <row r="25" spans="1:28" ht="42" customHeight="1" x14ac:dyDescent="0.6">
      <c r="A25" s="149"/>
      <c r="B25" s="204" t="s">
        <v>58</v>
      </c>
      <c r="C25" s="205"/>
      <c r="D25" s="207"/>
      <c r="E25" s="207"/>
      <c r="F25" s="208">
        <f t="shared" si="1"/>
        <v>0</v>
      </c>
      <c r="G25" s="208"/>
      <c r="H25" s="210"/>
      <c r="I25" s="210"/>
      <c r="J25" s="208">
        <f t="shared" ref="J25:J31" si="3">I25*CHOOSE($O$2,1,$F$5,$I$5,$K$5)</f>
        <v>0</v>
      </c>
      <c r="K25" s="208"/>
      <c r="L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</row>
    <row r="26" spans="1:28" ht="42" customHeight="1" x14ac:dyDescent="0.6">
      <c r="A26" s="149"/>
      <c r="B26" s="204" t="s">
        <v>56</v>
      </c>
      <c r="C26" s="205"/>
      <c r="D26" s="207">
        <f>2000/$F$5</f>
        <v>71.428571428571431</v>
      </c>
      <c r="E26" s="207"/>
      <c r="F26" s="208">
        <f t="shared" si="1"/>
        <v>71.428571428571431</v>
      </c>
      <c r="G26" s="208"/>
      <c r="H26" s="207">
        <f>2000/$F$5</f>
        <v>71.428571428571431</v>
      </c>
      <c r="I26" s="207"/>
      <c r="J26" s="208">
        <f>H26*CHOOSE($O$2,1,$F$5,$I$5,$K$5)</f>
        <v>71.428571428571431</v>
      </c>
      <c r="K26" s="208"/>
      <c r="L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</row>
    <row r="27" spans="1:28" ht="42" customHeight="1" x14ac:dyDescent="0.6">
      <c r="A27" s="149"/>
      <c r="B27" s="204" t="s">
        <v>108</v>
      </c>
      <c r="C27" s="205"/>
      <c r="D27" s="207"/>
      <c r="E27" s="207"/>
      <c r="F27" s="208">
        <f t="shared" si="1"/>
        <v>0</v>
      </c>
      <c r="G27" s="208"/>
      <c r="H27" s="210"/>
      <c r="I27" s="210"/>
      <c r="J27" s="208">
        <f t="shared" ref="J27" si="4">I27*CHOOSE($O$2,1,$F$5,$I$5,$K$5)</f>
        <v>0</v>
      </c>
      <c r="K27" s="208"/>
      <c r="L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</row>
    <row r="28" spans="1:28" ht="42" customHeight="1" x14ac:dyDescent="0.6">
      <c r="A28" s="86"/>
      <c r="B28" s="222" t="s">
        <v>149</v>
      </c>
      <c r="C28" s="223"/>
      <c r="D28" s="207">
        <f>2000/$F$5</f>
        <v>71.428571428571431</v>
      </c>
      <c r="E28" s="207"/>
      <c r="F28" s="208">
        <f t="shared" si="1"/>
        <v>71.428571428571431</v>
      </c>
      <c r="G28" s="208"/>
      <c r="H28" s="207">
        <f>2000/$F$5</f>
        <v>71.428571428571431</v>
      </c>
      <c r="I28" s="207"/>
      <c r="J28" s="208">
        <f>H28*CHOOSE($O$2,1,$F$5,$I$5,$K$5)</f>
        <v>71.428571428571431</v>
      </c>
      <c r="K28" s="208"/>
      <c r="L28" s="88"/>
      <c r="O28" s="87"/>
      <c r="P28" s="87"/>
      <c r="Q28" s="87"/>
      <c r="S28" s="87"/>
      <c r="T28" s="87"/>
      <c r="U28" s="87"/>
      <c r="V28" s="87"/>
      <c r="W28" s="87"/>
      <c r="X28" s="87"/>
      <c r="Y28" s="87"/>
      <c r="Z28" s="87"/>
      <c r="AA28" s="87"/>
    </row>
    <row r="29" spans="1:28" ht="42" customHeight="1" x14ac:dyDescent="0.6">
      <c r="A29" s="86"/>
      <c r="B29" s="204" t="s">
        <v>69</v>
      </c>
      <c r="C29" s="205"/>
      <c r="D29" s="207">
        <f>2000/$F$5</f>
        <v>71.428571428571431</v>
      </c>
      <c r="E29" s="207"/>
      <c r="F29" s="208">
        <f t="shared" si="1"/>
        <v>71.428571428571431</v>
      </c>
      <c r="G29" s="208"/>
      <c r="H29" s="207">
        <f>2000/$F$5</f>
        <v>71.428571428571431</v>
      </c>
      <c r="I29" s="207"/>
      <c r="J29" s="208">
        <f>H29*CHOOSE($O$2,1,$F$5,$I$5,$K$5)</f>
        <v>71.428571428571431</v>
      </c>
      <c r="K29" s="208"/>
      <c r="L29" s="88"/>
      <c r="O29" s="87"/>
      <c r="P29" s="87"/>
      <c r="Q29" s="87"/>
      <c r="S29" s="87"/>
      <c r="T29" s="87"/>
      <c r="U29" s="87"/>
      <c r="V29" s="87"/>
      <c r="W29" s="87"/>
      <c r="X29" s="87"/>
      <c r="Y29" s="87"/>
      <c r="Z29" s="87"/>
      <c r="AA29" s="87"/>
    </row>
    <row r="30" spans="1:28" ht="42" customHeight="1" x14ac:dyDescent="0.6">
      <c r="A30" s="86"/>
      <c r="B30" s="204" t="s">
        <v>23</v>
      </c>
      <c r="C30" s="205"/>
      <c r="D30" s="207">
        <v>10000</v>
      </c>
      <c r="E30" s="207"/>
      <c r="F30" s="208">
        <f t="shared" si="1"/>
        <v>10000</v>
      </c>
      <c r="G30" s="208"/>
      <c r="H30" s="207">
        <v>5000</v>
      </c>
      <c r="I30" s="207"/>
      <c r="J30" s="208">
        <f>H30*CHOOSE($O$2,1,$F$5,$I$5,$K$5)</f>
        <v>5000</v>
      </c>
      <c r="K30" s="208"/>
      <c r="L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</row>
    <row r="31" spans="1:28" ht="42" customHeight="1" x14ac:dyDescent="0.6">
      <c r="A31" s="86"/>
      <c r="B31" s="204" t="s">
        <v>2</v>
      </c>
      <c r="C31" s="205"/>
      <c r="D31" s="207"/>
      <c r="E31" s="207"/>
      <c r="F31" s="208">
        <f t="shared" si="1"/>
        <v>0</v>
      </c>
      <c r="G31" s="208"/>
      <c r="H31" s="210"/>
      <c r="I31" s="210"/>
      <c r="J31" s="208">
        <f t="shared" si="3"/>
        <v>0</v>
      </c>
      <c r="K31" s="208"/>
      <c r="L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8" ht="42" customHeight="1" x14ac:dyDescent="0.6">
      <c r="A32" s="86"/>
      <c r="B32" s="238" t="s">
        <v>0</v>
      </c>
      <c r="C32" s="239"/>
      <c r="D32" s="211">
        <f>SUM(D20:D31)</f>
        <v>25785.714285714283</v>
      </c>
      <c r="E32" s="211"/>
      <c r="F32" s="211">
        <f>SUM(F20:G31)</f>
        <v>25785.714285714283</v>
      </c>
      <c r="G32" s="211"/>
      <c r="H32" s="211">
        <f>SUM(I20:I31)</f>
        <v>0</v>
      </c>
      <c r="I32" s="211"/>
      <c r="J32" s="211">
        <f>SUM(J20:K31)</f>
        <v>20785.714285714283</v>
      </c>
      <c r="K32" s="211"/>
      <c r="L32" s="88"/>
      <c r="M32" s="102"/>
      <c r="O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ht="50.4" customHeight="1" x14ac:dyDescent="0.6">
      <c r="A33" s="209" t="s">
        <v>150</v>
      </c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88"/>
      <c r="O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</row>
    <row r="34" spans="1:27" ht="34.200000000000003" customHeight="1" x14ac:dyDescent="0.7">
      <c r="A34" s="185" t="s">
        <v>70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88"/>
      <c r="O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</row>
    <row r="35" spans="1:27" ht="34.200000000000003" customHeight="1" x14ac:dyDescent="0.7">
      <c r="A35" s="188" t="str">
        <f>D18</f>
        <v>Премиум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88"/>
      <c r="O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</row>
    <row r="36" spans="1:27" ht="34.200000000000003" customHeight="1" x14ac:dyDescent="0.6">
      <c r="A36" s="217" t="s">
        <v>71</v>
      </c>
      <c r="B36" s="217"/>
      <c r="C36" s="217"/>
      <c r="D36" s="217" t="s">
        <v>72</v>
      </c>
      <c r="E36" s="217" t="s">
        <v>91</v>
      </c>
      <c r="F36" s="217"/>
      <c r="G36" s="217"/>
      <c r="H36" s="217"/>
      <c r="I36" s="217" t="s">
        <v>103</v>
      </c>
      <c r="J36" s="217"/>
      <c r="K36" s="217" t="s">
        <v>104</v>
      </c>
      <c r="L36" s="88"/>
      <c r="O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</row>
    <row r="37" spans="1:27" ht="45.9" customHeight="1" x14ac:dyDescent="0.6">
      <c r="A37" s="217"/>
      <c r="B37" s="217"/>
      <c r="C37" s="217"/>
      <c r="D37" s="217"/>
      <c r="E37" s="217" t="str">
        <f>D19</f>
        <v>USD</v>
      </c>
      <c r="F37" s="217"/>
      <c r="G37" s="217" t="str">
        <f>F19</f>
        <v>В валюте, в которой производиться расчет, USD</v>
      </c>
      <c r="H37" s="217"/>
      <c r="I37" s="217"/>
      <c r="J37" s="217"/>
      <c r="K37" s="217"/>
      <c r="L37" s="193" t="s">
        <v>110</v>
      </c>
      <c r="O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</row>
    <row r="38" spans="1:27" s="1" customFormat="1" ht="40" customHeight="1" x14ac:dyDescent="0.55000000000000004">
      <c r="A38" s="228" t="s">
        <v>102</v>
      </c>
      <c r="B38" s="228"/>
      <c r="C38" s="228"/>
      <c r="D38" s="172"/>
      <c r="E38" s="248"/>
      <c r="F38" s="248"/>
      <c r="G38" s="235">
        <f>E38*CHOOSE($O$2,1,$F$5,$I$5,$K$5)</f>
        <v>0</v>
      </c>
      <c r="H38" s="235"/>
      <c r="I38" s="236">
        <v>0</v>
      </c>
      <c r="J38" s="236"/>
      <c r="K38" s="175" t="s">
        <v>80</v>
      </c>
      <c r="L38" s="88"/>
      <c r="N38" s="163"/>
      <c r="O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</row>
    <row r="39" spans="1:27" s="1" customFormat="1" ht="40" customHeight="1" x14ac:dyDescent="0.55000000000000004">
      <c r="A39" s="228" t="s">
        <v>109</v>
      </c>
      <c r="B39" s="228"/>
      <c r="C39" s="228"/>
      <c r="D39" s="172">
        <v>2</v>
      </c>
      <c r="E39" s="248">
        <f>8000/$F$5</f>
        <v>285.71428571428572</v>
      </c>
      <c r="F39" s="248"/>
      <c r="G39" s="235">
        <f>E39*CHOOSE($O$2,1,$F$5,$I$5,$K$5)</f>
        <v>285.71428571428572</v>
      </c>
      <c r="H39" s="235"/>
      <c r="I39" s="236">
        <v>0.01</v>
      </c>
      <c r="J39" s="236"/>
      <c r="K39" s="175" t="s">
        <v>80</v>
      </c>
      <c r="L39" s="88"/>
      <c r="N39" s="163"/>
      <c r="O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4"/>
    </row>
    <row r="40" spans="1:27" s="1" customFormat="1" ht="40" customHeight="1" x14ac:dyDescent="0.55000000000000004">
      <c r="A40" s="228"/>
      <c r="B40" s="228"/>
      <c r="C40" s="228"/>
      <c r="D40" s="172"/>
      <c r="E40" s="248"/>
      <c r="F40" s="248"/>
      <c r="G40" s="235">
        <f>E40*CHOOSE($O$2,1,$F$5,$I$5,$K$5)</f>
        <v>0</v>
      </c>
      <c r="H40" s="235"/>
      <c r="I40" s="236">
        <v>0</v>
      </c>
      <c r="J40" s="236"/>
      <c r="K40" s="175" t="s">
        <v>80</v>
      </c>
      <c r="L40" s="88"/>
      <c r="N40" s="163"/>
      <c r="O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  <c r="AA40" s="164"/>
    </row>
    <row r="41" spans="1:27" s="1" customFormat="1" ht="40" customHeight="1" x14ac:dyDescent="0.55000000000000004">
      <c r="A41" s="228" t="s">
        <v>112</v>
      </c>
      <c r="B41" s="228"/>
      <c r="C41" s="228"/>
      <c r="D41" s="172"/>
      <c r="E41" s="248"/>
      <c r="F41" s="248"/>
      <c r="G41" s="235">
        <f>E41*CHOOSE($O$2,1,$F$5,$I$5,$K$5)</f>
        <v>0</v>
      </c>
      <c r="H41" s="235"/>
      <c r="I41" s="236"/>
      <c r="J41" s="236"/>
      <c r="K41" s="175" t="s">
        <v>80</v>
      </c>
      <c r="L41" s="88"/>
      <c r="N41" s="163"/>
      <c r="O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</row>
    <row r="42" spans="1:27" ht="25.8" customHeight="1" x14ac:dyDescent="0.7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88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</row>
    <row r="43" spans="1:27" ht="34.200000000000003" customHeight="1" x14ac:dyDescent="0.7">
      <c r="A43" s="188" t="str">
        <f>H7</f>
        <v>Бизнес</v>
      </c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88"/>
      <c r="O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 spans="1:27" ht="34.200000000000003" customHeight="1" x14ac:dyDescent="0.6">
      <c r="A44" s="217" t="s">
        <v>71</v>
      </c>
      <c r="B44" s="217"/>
      <c r="C44" s="217"/>
      <c r="D44" s="217" t="s">
        <v>72</v>
      </c>
      <c r="E44" s="217" t="s">
        <v>91</v>
      </c>
      <c r="F44" s="217"/>
      <c r="G44" s="217"/>
      <c r="H44" s="217"/>
      <c r="I44" s="217" t="s">
        <v>103</v>
      </c>
      <c r="J44" s="217"/>
      <c r="K44" s="217" t="s">
        <v>104</v>
      </c>
      <c r="L44" s="88"/>
      <c r="O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 spans="1:27" ht="39.9" customHeight="1" x14ac:dyDescent="0.6">
      <c r="A45" s="217"/>
      <c r="B45" s="217"/>
      <c r="C45" s="217"/>
      <c r="D45" s="217"/>
      <c r="E45" s="217" t="str">
        <f>E37</f>
        <v>USD</v>
      </c>
      <c r="F45" s="217"/>
      <c r="G45" s="217" t="str">
        <f>G37</f>
        <v>В валюте, в которой производиться расчет, USD</v>
      </c>
      <c r="H45" s="217"/>
      <c r="I45" s="217"/>
      <c r="J45" s="217"/>
      <c r="K45" s="217"/>
      <c r="L45" s="88"/>
      <c r="O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</row>
    <row r="46" spans="1:27" ht="40" customHeight="1" x14ac:dyDescent="0.6">
      <c r="A46" s="228" t="s">
        <v>102</v>
      </c>
      <c r="B46" s="228"/>
      <c r="C46" s="228"/>
      <c r="D46" s="191"/>
      <c r="E46" s="248"/>
      <c r="F46" s="248"/>
      <c r="G46" s="235">
        <f>E46*CHOOSE($O$2,1,$F$5,$I$5,$K$5)</f>
        <v>0</v>
      </c>
      <c r="H46" s="235"/>
      <c r="I46" s="236">
        <v>0</v>
      </c>
      <c r="J46" s="236"/>
      <c r="K46" s="175" t="s">
        <v>80</v>
      </c>
      <c r="L46" s="88"/>
      <c r="O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</row>
    <row r="47" spans="1:27" s="1" customFormat="1" ht="40" customHeight="1" x14ac:dyDescent="0.55000000000000004">
      <c r="A47" s="228" t="s">
        <v>109</v>
      </c>
      <c r="B47" s="228"/>
      <c r="C47" s="228"/>
      <c r="D47" s="191">
        <v>2</v>
      </c>
      <c r="E47" s="248">
        <f>8000/$F$5</f>
        <v>285.71428571428572</v>
      </c>
      <c r="F47" s="248"/>
      <c r="G47" s="235">
        <f>E47*CHOOSE($O$2,1,$F$5,$I$5,$K$5)</f>
        <v>285.71428571428572</v>
      </c>
      <c r="H47" s="235"/>
      <c r="I47" s="236">
        <v>0.01</v>
      </c>
      <c r="J47" s="236"/>
      <c r="K47" s="175" t="s">
        <v>80</v>
      </c>
      <c r="L47" s="88"/>
      <c r="N47" s="163"/>
      <c r="O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  <c r="AA47" s="164"/>
    </row>
    <row r="48" spans="1:27" s="1" customFormat="1" ht="40" customHeight="1" x14ac:dyDescent="0.55000000000000004">
      <c r="A48" s="228"/>
      <c r="B48" s="228"/>
      <c r="C48" s="228"/>
      <c r="D48" s="191"/>
      <c r="E48" s="248"/>
      <c r="F48" s="248"/>
      <c r="G48" s="235">
        <f>E48*CHOOSE($O$2,1,$F$5,$I$5,$K$5)</f>
        <v>0</v>
      </c>
      <c r="H48" s="235"/>
      <c r="I48" s="236">
        <v>0</v>
      </c>
      <c r="J48" s="236"/>
      <c r="K48" s="175" t="s">
        <v>80</v>
      </c>
      <c r="L48" s="88"/>
      <c r="N48" s="163"/>
      <c r="O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  <c r="AA48" s="164"/>
    </row>
    <row r="49" spans="1:28" s="1" customFormat="1" ht="40" customHeight="1" x14ac:dyDescent="0.55000000000000004">
      <c r="A49" s="228" t="s">
        <v>112</v>
      </c>
      <c r="B49" s="228"/>
      <c r="C49" s="228"/>
      <c r="D49" s="172"/>
      <c r="E49" s="248"/>
      <c r="F49" s="248"/>
      <c r="G49" s="235">
        <f>E49*CHOOSE($O$2,1,$F$5,$I$5,$K$5)</f>
        <v>0</v>
      </c>
      <c r="H49" s="235"/>
      <c r="I49" s="236"/>
      <c r="J49" s="236"/>
      <c r="K49" s="175" t="s">
        <v>80</v>
      </c>
      <c r="L49" s="88"/>
      <c r="N49" s="163"/>
      <c r="O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</row>
    <row r="50" spans="1:28" s="1" customFormat="1" ht="24.3" customHeight="1" x14ac:dyDescent="0.7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88"/>
      <c r="N50" s="163"/>
      <c r="O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</row>
    <row r="51" spans="1:28" ht="42" customHeight="1" x14ac:dyDescent="0.55000000000000004">
      <c r="A51" s="80" t="s">
        <v>1</v>
      </c>
      <c r="D51" s="183"/>
      <c r="E51" s="183"/>
      <c r="H51" s="234"/>
      <c r="I51" s="234"/>
      <c r="J51" s="234"/>
      <c r="K51" s="234"/>
    </row>
    <row r="52" spans="1:28" ht="42" customHeight="1" x14ac:dyDescent="0.55000000000000004">
      <c r="D52" s="250" t="s">
        <v>105</v>
      </c>
      <c r="E52" s="250"/>
      <c r="F52" s="250"/>
      <c r="G52" s="250"/>
      <c r="H52" s="250"/>
      <c r="I52" s="250"/>
      <c r="J52" s="250"/>
      <c r="K52" s="250"/>
    </row>
    <row r="53" spans="1:28" ht="42" customHeight="1" x14ac:dyDescent="0.55000000000000004">
      <c r="A53" s="182"/>
      <c r="D53" s="253" t="str">
        <f>A35</f>
        <v>Премиум</v>
      </c>
      <c r="E53" s="253"/>
      <c r="F53" s="253"/>
      <c r="G53" s="253"/>
      <c r="H53" s="253" t="str">
        <f>A43</f>
        <v>Бизнес</v>
      </c>
      <c r="I53" s="253"/>
      <c r="J53" s="253"/>
      <c r="K53" s="253"/>
    </row>
    <row r="54" spans="1:28" ht="46.8" customHeight="1" x14ac:dyDescent="0.55000000000000004">
      <c r="A54" s="80"/>
      <c r="D54" s="254" t="s">
        <v>111</v>
      </c>
      <c r="E54" s="254"/>
      <c r="F54" s="249" t="str">
        <f>"В валюте, в которой производиться расчет, "&amp;CHOOSE($O$2,$P$2,$P$3,$P$4,$P$5)&amp;"/мес."</f>
        <v>В валюте, в которой производиться расчет, USD/мес.</v>
      </c>
      <c r="G54" s="249"/>
      <c r="H54" s="249" t="s">
        <v>93</v>
      </c>
      <c r="I54" s="249"/>
      <c r="J54" s="249" t="str">
        <f>"В валюте, в которой производиться расчет, "&amp;CHOOSE($O$2,$P$2,$P$3,$P$4,$P$5)&amp;"/мес."</f>
        <v>В валюте, в которой производиться расчет, USD/мес.</v>
      </c>
      <c r="K54" s="249"/>
    </row>
    <row r="55" spans="1:28" ht="43" customHeight="1" x14ac:dyDescent="0.55000000000000004">
      <c r="A55" s="131"/>
      <c r="B55" s="222" t="s">
        <v>132</v>
      </c>
      <c r="C55" s="223"/>
      <c r="D55" s="252">
        <v>0.2</v>
      </c>
      <c r="E55" s="252"/>
      <c r="F55" s="246"/>
      <c r="G55" s="246"/>
      <c r="H55" s="252">
        <v>0.25</v>
      </c>
      <c r="I55" s="252"/>
      <c r="J55" s="210"/>
      <c r="K55" s="210"/>
    </row>
    <row r="56" spans="1:28" s="2" customFormat="1" ht="43" customHeight="1" x14ac:dyDescent="0.6">
      <c r="A56" s="86"/>
      <c r="B56" s="219" t="s">
        <v>59</v>
      </c>
      <c r="C56" s="220"/>
      <c r="D56" s="247">
        <f>5000/$F$5</f>
        <v>178.57142857142858</v>
      </c>
      <c r="E56" s="247"/>
      <c r="F56" s="246">
        <f t="shared" ref="F56:F65" si="5">D56*CHOOSE($O$2,1,$F$5,$I$5,$K$5)</f>
        <v>178.57142857142858</v>
      </c>
      <c r="G56" s="246"/>
      <c r="H56" s="247">
        <f>5000/$F$5</f>
        <v>178.57142857142858</v>
      </c>
      <c r="I56" s="247"/>
      <c r="J56" s="246">
        <f t="shared" ref="J56:J65" si="6">H56*CHOOSE($O$2,1,$F$5,$I$5,$K$5)</f>
        <v>178.57142857142858</v>
      </c>
      <c r="K56" s="246"/>
      <c r="L56" s="88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</row>
    <row r="57" spans="1:28" ht="43" customHeight="1" x14ac:dyDescent="0.55000000000000004">
      <c r="A57" s="86"/>
      <c r="B57" s="219" t="s">
        <v>60</v>
      </c>
      <c r="C57" s="220"/>
      <c r="D57" s="247">
        <f>2000/$F$5</f>
        <v>71.428571428571431</v>
      </c>
      <c r="E57" s="247"/>
      <c r="F57" s="246">
        <f t="shared" si="5"/>
        <v>71.428571428571431</v>
      </c>
      <c r="G57" s="246"/>
      <c r="H57" s="247">
        <f>2000/$F$5</f>
        <v>71.428571428571431</v>
      </c>
      <c r="I57" s="247"/>
      <c r="J57" s="246">
        <f t="shared" si="6"/>
        <v>71.428571428571431</v>
      </c>
      <c r="K57" s="246"/>
      <c r="M57" s="1"/>
    </row>
    <row r="58" spans="1:28" ht="43" customHeight="1" x14ac:dyDescent="0.55000000000000004">
      <c r="A58" s="2"/>
      <c r="B58" s="204" t="s">
        <v>51</v>
      </c>
      <c r="C58" s="205"/>
      <c r="D58" s="247">
        <f>2000/$F$5</f>
        <v>71.428571428571431</v>
      </c>
      <c r="E58" s="247"/>
      <c r="F58" s="246">
        <f t="shared" si="5"/>
        <v>71.428571428571431</v>
      </c>
      <c r="G58" s="246"/>
      <c r="H58" s="247">
        <f>2000/$F$5</f>
        <v>71.428571428571431</v>
      </c>
      <c r="I58" s="247"/>
      <c r="J58" s="246">
        <f t="shared" si="6"/>
        <v>71.428571428571431</v>
      </c>
      <c r="K58" s="246"/>
      <c r="M58" s="1"/>
    </row>
    <row r="59" spans="1:28" ht="43" customHeight="1" x14ac:dyDescent="0.55000000000000004">
      <c r="A59" s="86"/>
      <c r="B59" s="204" t="s">
        <v>127</v>
      </c>
      <c r="C59" s="205"/>
      <c r="D59" s="247">
        <f>300/$F$5</f>
        <v>10.714285714285714</v>
      </c>
      <c r="E59" s="247"/>
      <c r="F59" s="246">
        <f t="shared" si="5"/>
        <v>10.714285714285714</v>
      </c>
      <c r="G59" s="246"/>
      <c r="H59" s="247">
        <f>300/$F$5</f>
        <v>10.714285714285714</v>
      </c>
      <c r="I59" s="247"/>
      <c r="J59" s="246">
        <f t="shared" si="6"/>
        <v>10.714285714285714</v>
      </c>
      <c r="K59" s="246"/>
      <c r="M59" s="1"/>
    </row>
    <row r="60" spans="1:28" ht="43" customHeight="1" x14ac:dyDescent="0.55000000000000004">
      <c r="A60" s="2"/>
      <c r="B60" s="224" t="s">
        <v>73</v>
      </c>
      <c r="C60" s="224"/>
      <c r="D60" s="247">
        <f>2000/$F$5</f>
        <v>71.428571428571431</v>
      </c>
      <c r="E60" s="247"/>
      <c r="F60" s="246">
        <f t="shared" si="5"/>
        <v>71.428571428571431</v>
      </c>
      <c r="G60" s="246"/>
      <c r="H60" s="247">
        <f>2000/$F$5</f>
        <v>71.428571428571431</v>
      </c>
      <c r="I60" s="247"/>
      <c r="J60" s="246">
        <f t="shared" si="6"/>
        <v>71.428571428571431</v>
      </c>
      <c r="K60" s="246"/>
    </row>
    <row r="61" spans="1:28" ht="43" customHeight="1" x14ac:dyDescent="0.55000000000000004">
      <c r="A61" s="2"/>
      <c r="B61" s="204" t="s">
        <v>78</v>
      </c>
      <c r="C61" s="205"/>
      <c r="D61" s="247">
        <f>1000/$F$5</f>
        <v>35.714285714285715</v>
      </c>
      <c r="E61" s="247"/>
      <c r="F61" s="246">
        <f t="shared" si="5"/>
        <v>35.714285714285715</v>
      </c>
      <c r="G61" s="246"/>
      <c r="H61" s="247">
        <f>1000/$F$5</f>
        <v>35.714285714285715</v>
      </c>
      <c r="I61" s="247"/>
      <c r="J61" s="246">
        <f t="shared" si="6"/>
        <v>35.714285714285715</v>
      </c>
      <c r="K61" s="246"/>
    </row>
    <row r="62" spans="1:28" ht="43" customHeight="1" x14ac:dyDescent="0.6">
      <c r="A62" s="2"/>
      <c r="B62" s="204" t="s">
        <v>74</v>
      </c>
      <c r="C62" s="205"/>
      <c r="D62" s="247">
        <f>300/$F$5</f>
        <v>10.714285714285714</v>
      </c>
      <c r="E62" s="247"/>
      <c r="F62" s="246">
        <f t="shared" si="5"/>
        <v>10.714285714285714</v>
      </c>
      <c r="G62" s="246"/>
      <c r="H62" s="247">
        <f>300/$F$5</f>
        <v>10.714285714285714</v>
      </c>
      <c r="I62" s="247"/>
      <c r="J62" s="246">
        <f t="shared" si="6"/>
        <v>10.714285714285714</v>
      </c>
      <c r="K62" s="246"/>
      <c r="L62" s="90"/>
      <c r="M62" s="86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</row>
    <row r="63" spans="1:28" ht="43" customHeight="1" x14ac:dyDescent="0.6">
      <c r="A63" s="2"/>
      <c r="B63" s="204" t="s">
        <v>128</v>
      </c>
      <c r="C63" s="205"/>
      <c r="D63" s="247">
        <f>500/$F$5</f>
        <v>17.857142857142858</v>
      </c>
      <c r="E63" s="247"/>
      <c r="F63" s="246">
        <f t="shared" si="5"/>
        <v>17.857142857142858</v>
      </c>
      <c r="G63" s="246"/>
      <c r="H63" s="247">
        <f>500/$F$5</f>
        <v>17.857142857142858</v>
      </c>
      <c r="I63" s="247"/>
      <c r="J63" s="246">
        <f t="shared" si="6"/>
        <v>17.857142857142858</v>
      </c>
      <c r="K63" s="246"/>
      <c r="L63" s="90"/>
      <c r="M63" s="86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</row>
    <row r="64" spans="1:28" ht="43" customHeight="1" x14ac:dyDescent="0.55000000000000004">
      <c r="A64" s="2"/>
      <c r="B64" s="204" t="s">
        <v>85</v>
      </c>
      <c r="C64" s="205"/>
      <c r="D64" s="247">
        <f>2000/$F$5</f>
        <v>71.428571428571431</v>
      </c>
      <c r="E64" s="247"/>
      <c r="F64" s="246">
        <f t="shared" si="5"/>
        <v>71.428571428571431</v>
      </c>
      <c r="G64" s="246"/>
      <c r="H64" s="247">
        <f>2000/$F$5</f>
        <v>71.428571428571431</v>
      </c>
      <c r="I64" s="247"/>
      <c r="J64" s="246">
        <f t="shared" si="6"/>
        <v>71.428571428571431</v>
      </c>
      <c r="K64" s="246"/>
    </row>
    <row r="65" spans="1:28" ht="43" customHeight="1" x14ac:dyDescent="0.6">
      <c r="A65" s="2"/>
      <c r="B65" s="204" t="s">
        <v>113</v>
      </c>
      <c r="C65" s="205"/>
      <c r="D65" s="247"/>
      <c r="E65" s="247"/>
      <c r="F65" s="246">
        <f t="shared" si="5"/>
        <v>0</v>
      </c>
      <c r="G65" s="246"/>
      <c r="H65" s="247"/>
      <c r="I65" s="247"/>
      <c r="J65" s="246">
        <f t="shared" si="6"/>
        <v>0</v>
      </c>
      <c r="K65" s="246"/>
      <c r="L65" s="90"/>
      <c r="M65" s="86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</row>
    <row r="66" spans="1:28" ht="43" customHeight="1" x14ac:dyDescent="0.55000000000000004">
      <c r="A66" s="2"/>
      <c r="B66" s="204" t="s">
        <v>98</v>
      </c>
      <c r="C66" s="205"/>
      <c r="D66" s="252"/>
      <c r="E66" s="252"/>
      <c r="F66" s="255"/>
      <c r="G66" s="255"/>
      <c r="H66" s="252"/>
      <c r="I66" s="252"/>
      <c r="J66" s="210"/>
      <c r="K66" s="210"/>
    </row>
    <row r="67" spans="1:28" ht="43" customHeight="1" x14ac:dyDescent="0.55000000000000004">
      <c r="A67" s="2"/>
      <c r="B67" s="204" t="s">
        <v>2</v>
      </c>
      <c r="C67" s="205"/>
      <c r="D67" s="247"/>
      <c r="E67" s="247"/>
      <c r="F67" s="246">
        <f>D67*CHOOSE($O$2,1,$F$5,$I$5,$K$5)</f>
        <v>0</v>
      </c>
      <c r="G67" s="246"/>
      <c r="H67" s="247"/>
      <c r="I67" s="247"/>
      <c r="J67" s="246">
        <f>H67*CHOOSE($O$2,1,$F$5,$I$5,$K$5)</f>
        <v>0</v>
      </c>
      <c r="K67" s="246"/>
    </row>
    <row r="68" spans="1:28" ht="26.4" customHeight="1" x14ac:dyDescent="0.55000000000000004">
      <c r="A68" s="209" t="s">
        <v>129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</row>
  </sheetData>
  <sheetProtection formatCells="0" formatColumns="0" formatRows="0" insertColumns="0" insertRows="0" insertHyperlinks="0" deleteColumns="0" deleteRows="0" sort="0" autoFilter="0" pivotTables="0"/>
  <mergeCells count="223">
    <mergeCell ref="B22:C22"/>
    <mergeCell ref="D22:E22"/>
    <mergeCell ref="F22:G22"/>
    <mergeCell ref="H22:I22"/>
    <mergeCell ref="J22:K22"/>
    <mergeCell ref="D67:E67"/>
    <mergeCell ref="D59:E59"/>
    <mergeCell ref="D60:E60"/>
    <mergeCell ref="D61:E61"/>
    <mergeCell ref="D62:E62"/>
    <mergeCell ref="D63:E63"/>
    <mergeCell ref="D64:E64"/>
    <mergeCell ref="D65:E65"/>
    <mergeCell ref="D66:E66"/>
    <mergeCell ref="F60:G60"/>
    <mergeCell ref="F61:G61"/>
    <mergeCell ref="F62:G62"/>
    <mergeCell ref="F63:G63"/>
    <mergeCell ref="F64:G64"/>
    <mergeCell ref="F65:G65"/>
    <mergeCell ref="F66:G66"/>
    <mergeCell ref="F67:G67"/>
    <mergeCell ref="J60:K60"/>
    <mergeCell ref="J61:K61"/>
    <mergeCell ref="J62:K62"/>
    <mergeCell ref="J63:K63"/>
    <mergeCell ref="J64:K64"/>
    <mergeCell ref="J65:K65"/>
    <mergeCell ref="J66:K66"/>
    <mergeCell ref="J67:K67"/>
    <mergeCell ref="H60:I60"/>
    <mergeCell ref="H61:I61"/>
    <mergeCell ref="H62:I62"/>
    <mergeCell ref="H63:I63"/>
    <mergeCell ref="H64:I64"/>
    <mergeCell ref="H65:I65"/>
    <mergeCell ref="H66:I66"/>
    <mergeCell ref="H67:I67"/>
    <mergeCell ref="F29:G29"/>
    <mergeCell ref="D29:E29"/>
    <mergeCell ref="D30:E30"/>
    <mergeCell ref="D31:E31"/>
    <mergeCell ref="D32:E32"/>
    <mergeCell ref="H54:I54"/>
    <mergeCell ref="H55:I55"/>
    <mergeCell ref="H56:I56"/>
    <mergeCell ref="H53:K53"/>
    <mergeCell ref="D53:G53"/>
    <mergeCell ref="F54:G54"/>
    <mergeCell ref="F55:G55"/>
    <mergeCell ref="F56:G56"/>
    <mergeCell ref="D54:E54"/>
    <mergeCell ref="D55:E55"/>
    <mergeCell ref="D56:E56"/>
    <mergeCell ref="J29:K29"/>
    <mergeCell ref="J30:K30"/>
    <mergeCell ref="J31:K31"/>
    <mergeCell ref="J32:K32"/>
    <mergeCell ref="F30:G30"/>
    <mergeCell ref="F31:G31"/>
    <mergeCell ref="F32:G32"/>
    <mergeCell ref="J28:K28"/>
    <mergeCell ref="F19:G19"/>
    <mergeCell ref="F20:G20"/>
    <mergeCell ref="F21:G21"/>
    <mergeCell ref="F23:G23"/>
    <mergeCell ref="F25:G25"/>
    <mergeCell ref="F26:G26"/>
    <mergeCell ref="F27:G27"/>
    <mergeCell ref="F28:G28"/>
    <mergeCell ref="A10:B12"/>
    <mergeCell ref="B23:C23"/>
    <mergeCell ref="B24:C24"/>
    <mergeCell ref="B28:C28"/>
    <mergeCell ref="D18:G18"/>
    <mergeCell ref="D19:E19"/>
    <mergeCell ref="D20:E20"/>
    <mergeCell ref="D21:E21"/>
    <mergeCell ref="D23:E23"/>
    <mergeCell ref="D25:E25"/>
    <mergeCell ref="D26:E26"/>
    <mergeCell ref="D27:E27"/>
    <mergeCell ref="D28:E28"/>
    <mergeCell ref="G15:H15"/>
    <mergeCell ref="H23:I23"/>
    <mergeCell ref="H24:I24"/>
    <mergeCell ref="H28:I28"/>
    <mergeCell ref="H18:K18"/>
    <mergeCell ref="J19:K19"/>
    <mergeCell ref="J20:K20"/>
    <mergeCell ref="J21:K21"/>
    <mergeCell ref="J23:K23"/>
    <mergeCell ref="J24:K24"/>
    <mergeCell ref="J25:K25"/>
    <mergeCell ref="G12:H12"/>
    <mergeCell ref="C10:H10"/>
    <mergeCell ref="I10:K10"/>
    <mergeCell ref="I11:J12"/>
    <mergeCell ref="K11:K12"/>
    <mergeCell ref="D52:K52"/>
    <mergeCell ref="G48:H48"/>
    <mergeCell ref="I48:J48"/>
    <mergeCell ref="I44:J45"/>
    <mergeCell ref="I39:J39"/>
    <mergeCell ref="I40:J40"/>
    <mergeCell ref="I41:J41"/>
    <mergeCell ref="G39:H39"/>
    <mergeCell ref="G40:H40"/>
    <mergeCell ref="G41:H41"/>
    <mergeCell ref="E38:F38"/>
    <mergeCell ref="E39:F39"/>
    <mergeCell ref="E40:F40"/>
    <mergeCell ref="E41:F41"/>
    <mergeCell ref="I36:J37"/>
    <mergeCell ref="I15:J15"/>
    <mergeCell ref="D15:E15"/>
    <mergeCell ref="J26:K26"/>
    <mergeCell ref="J27:K27"/>
    <mergeCell ref="H57:I57"/>
    <mergeCell ref="H58:I58"/>
    <mergeCell ref="H59:I59"/>
    <mergeCell ref="J54:K54"/>
    <mergeCell ref="J55:K55"/>
    <mergeCell ref="J56:K56"/>
    <mergeCell ref="J57:K57"/>
    <mergeCell ref="J58:K58"/>
    <mergeCell ref="J59:K59"/>
    <mergeCell ref="F57:G57"/>
    <mergeCell ref="F58:G58"/>
    <mergeCell ref="F59:G59"/>
    <mergeCell ref="D57:E57"/>
    <mergeCell ref="D58:E58"/>
    <mergeCell ref="K44:K45"/>
    <mergeCell ref="A49:C49"/>
    <mergeCell ref="E49:F49"/>
    <mergeCell ref="G49:H49"/>
    <mergeCell ref="I49:J49"/>
    <mergeCell ref="G45:H45"/>
    <mergeCell ref="A46:C46"/>
    <mergeCell ref="E46:F46"/>
    <mergeCell ref="G46:H46"/>
    <mergeCell ref="I46:J46"/>
    <mergeCell ref="A47:C47"/>
    <mergeCell ref="E47:F47"/>
    <mergeCell ref="G47:H47"/>
    <mergeCell ref="I47:J47"/>
    <mergeCell ref="A44:C45"/>
    <mergeCell ref="D44:D45"/>
    <mergeCell ref="E44:H44"/>
    <mergeCell ref="A48:C48"/>
    <mergeCell ref="E48:F48"/>
    <mergeCell ref="B26:C26"/>
    <mergeCell ref="G5:H5"/>
    <mergeCell ref="A7:C7"/>
    <mergeCell ref="B55:C55"/>
    <mergeCell ref="H51:K51"/>
    <mergeCell ref="E37:F37"/>
    <mergeCell ref="G37:H37"/>
    <mergeCell ref="A15:B15"/>
    <mergeCell ref="B31:C31"/>
    <mergeCell ref="B25:C25"/>
    <mergeCell ref="G38:H38"/>
    <mergeCell ref="I38:J38"/>
    <mergeCell ref="H19:I19"/>
    <mergeCell ref="H20:I20"/>
    <mergeCell ref="H21:I21"/>
    <mergeCell ref="B32:C32"/>
    <mergeCell ref="B30:C30"/>
    <mergeCell ref="D36:D37"/>
    <mergeCell ref="A36:C37"/>
    <mergeCell ref="A38:C38"/>
    <mergeCell ref="E36:H36"/>
    <mergeCell ref="D7:G7"/>
    <mergeCell ref="H7:K7"/>
    <mergeCell ref="D12:E12"/>
    <mergeCell ref="A1:K1"/>
    <mergeCell ref="A33:K33"/>
    <mergeCell ref="B62:C62"/>
    <mergeCell ref="B56:C56"/>
    <mergeCell ref="B58:C58"/>
    <mergeCell ref="B66:C66"/>
    <mergeCell ref="A2:K2"/>
    <mergeCell ref="B61:C61"/>
    <mergeCell ref="B21:C21"/>
    <mergeCell ref="B60:C60"/>
    <mergeCell ref="B59:C59"/>
    <mergeCell ref="B57:C57"/>
    <mergeCell ref="C11:E11"/>
    <mergeCell ref="F11:H11"/>
    <mergeCell ref="I13:J13"/>
    <mergeCell ref="G13:H13"/>
    <mergeCell ref="D13:E13"/>
    <mergeCell ref="A39:C39"/>
    <mergeCell ref="A40:C40"/>
    <mergeCell ref="A41:C41"/>
    <mergeCell ref="E45:F45"/>
    <mergeCell ref="A5:D5"/>
    <mergeCell ref="A13:B13"/>
    <mergeCell ref="B29:C29"/>
    <mergeCell ref="B67:C67"/>
    <mergeCell ref="B64:C64"/>
    <mergeCell ref="A14:B14"/>
    <mergeCell ref="B20:C20"/>
    <mergeCell ref="D24:E24"/>
    <mergeCell ref="F24:G24"/>
    <mergeCell ref="A68:K68"/>
    <mergeCell ref="B63:C63"/>
    <mergeCell ref="H25:I25"/>
    <mergeCell ref="H26:I26"/>
    <mergeCell ref="H29:I29"/>
    <mergeCell ref="H30:I30"/>
    <mergeCell ref="H31:I31"/>
    <mergeCell ref="H32:I32"/>
    <mergeCell ref="A16:K16"/>
    <mergeCell ref="B27:C27"/>
    <mergeCell ref="I14:J14"/>
    <mergeCell ref="G14:H14"/>
    <mergeCell ref="D14:E14"/>
    <mergeCell ref="B65:C65"/>
    <mergeCell ref="H27:I27"/>
    <mergeCell ref="A42:K42"/>
    <mergeCell ref="A50:K50"/>
    <mergeCell ref="K36:K3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8" orientation="portrait" r:id="rId1"/>
  <rowBreaks count="1" manualBreakCount="1">
    <brk id="50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613410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621030</xdr:colOff>
                    <xdr:row>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48730-25A6-4BC9-8C7E-218ED8C44F42}">
  <dimension ref="A1:J13"/>
  <sheetViews>
    <sheetView zoomScale="70" zoomScaleNormal="70" workbookViewId="0">
      <selection activeCell="F14" sqref="F14"/>
    </sheetView>
  </sheetViews>
  <sheetFormatPr defaultRowHeight="14.4" x14ac:dyDescent="0.55000000000000004"/>
  <cols>
    <col min="1" max="1" width="26.7890625" customWidth="1"/>
    <col min="2" max="2" width="14.89453125" customWidth="1"/>
    <col min="3" max="3" width="10.7890625" customWidth="1"/>
    <col min="4" max="4" width="27.62890625" customWidth="1"/>
    <col min="5" max="5" width="17.62890625" customWidth="1"/>
    <col min="6" max="6" width="16.15625" customWidth="1"/>
    <col min="7" max="7" width="27.62890625" customWidth="1"/>
    <col min="8" max="8" width="17.62890625" customWidth="1"/>
    <col min="9" max="9" width="16.15625" customWidth="1"/>
    <col min="10" max="10" width="27.62890625" customWidth="1"/>
  </cols>
  <sheetData>
    <row r="1" spans="1:10" ht="15.6" x14ac:dyDescent="0.6">
      <c r="A1" s="218" t="s">
        <v>5</v>
      </c>
      <c r="B1" s="218"/>
      <c r="C1" s="218"/>
      <c r="D1" s="218"/>
      <c r="E1" s="218"/>
      <c r="F1" s="218"/>
      <c r="G1" s="218"/>
      <c r="H1" s="218"/>
      <c r="I1" s="218"/>
      <c r="J1" s="218"/>
    </row>
    <row r="2" spans="1:10" ht="60" customHeight="1" x14ac:dyDescent="0.55000000000000004">
      <c r="A2" s="256" t="s">
        <v>140</v>
      </c>
      <c r="B2" s="256"/>
      <c r="C2" s="256"/>
      <c r="D2" s="256"/>
      <c r="E2" s="256"/>
      <c r="F2" s="256"/>
      <c r="G2" s="256"/>
      <c r="H2" s="256"/>
      <c r="I2" s="256"/>
      <c r="J2" s="256"/>
    </row>
    <row r="3" spans="1:10" ht="60" customHeight="1" x14ac:dyDescent="0.55000000000000004">
      <c r="A3" s="261" t="s">
        <v>134</v>
      </c>
      <c r="B3" s="261" t="s">
        <v>136</v>
      </c>
      <c r="C3" s="261"/>
      <c r="D3" s="261"/>
      <c r="E3" s="260" t="str">
        <f>'Исходные данные'!D7</f>
        <v>Премиум</v>
      </c>
      <c r="F3" s="260"/>
      <c r="G3" s="260"/>
      <c r="H3" s="260" t="str">
        <f>'Исходные данные'!H7</f>
        <v>Бизнес</v>
      </c>
      <c r="I3" s="260"/>
      <c r="J3" s="260"/>
    </row>
    <row r="4" spans="1:10" s="200" customFormat="1" ht="46.5" customHeight="1" x14ac:dyDescent="0.55000000000000004">
      <c r="A4" s="261"/>
      <c r="B4" s="261"/>
      <c r="C4" s="261"/>
      <c r="D4" s="261"/>
      <c r="E4" s="258" t="s">
        <v>135</v>
      </c>
      <c r="F4" s="237" t="s">
        <v>137</v>
      </c>
      <c r="G4" s="237"/>
      <c r="H4" s="258" t="s">
        <v>135</v>
      </c>
      <c r="I4" s="237" t="s">
        <v>137</v>
      </c>
      <c r="J4" s="237"/>
    </row>
    <row r="5" spans="1:10" ht="58.8" customHeight="1" x14ac:dyDescent="0.55000000000000004">
      <c r="A5" s="261"/>
      <c r="B5" s="199" t="s">
        <v>138</v>
      </c>
      <c r="C5" s="199" t="s">
        <v>139</v>
      </c>
      <c r="D5" s="197" t="s">
        <v>151</v>
      </c>
      <c r="E5" s="259"/>
      <c r="F5" s="197" t="s">
        <v>66</v>
      </c>
      <c r="G5" s="197" t="s">
        <v>151</v>
      </c>
      <c r="H5" s="259"/>
      <c r="I5" s="197" t="s">
        <v>66</v>
      </c>
      <c r="J5" s="197" t="s">
        <v>151</v>
      </c>
    </row>
    <row r="6" spans="1:10" ht="60" customHeight="1" x14ac:dyDescent="0.55000000000000004">
      <c r="A6" s="202" t="s">
        <v>141</v>
      </c>
      <c r="B6" s="195">
        <v>9000</v>
      </c>
      <c r="C6" s="201" t="s">
        <v>66</v>
      </c>
      <c r="D6" s="198">
        <f>B6*CHOOSE('Исходные данные'!$O$2,1,'Исходные данные'!$F$5,'Исходные данные'!$I$5,'Исходные данные'!$K$5)</f>
        <v>9000</v>
      </c>
      <c r="E6" s="195">
        <v>1</v>
      </c>
      <c r="F6" s="198">
        <f t="shared" ref="F6:F12" si="0">E6*B6</f>
        <v>9000</v>
      </c>
      <c r="G6" s="198">
        <f t="shared" ref="G6:G12" si="1">D6*E6</f>
        <v>9000</v>
      </c>
      <c r="H6" s="195">
        <v>1</v>
      </c>
      <c r="I6" s="198">
        <f>H6*B6</f>
        <v>9000</v>
      </c>
      <c r="J6" s="198">
        <f>D6*H6</f>
        <v>9000</v>
      </c>
    </row>
    <row r="7" spans="1:10" ht="60" customHeight="1" x14ac:dyDescent="0.55000000000000004">
      <c r="A7" s="202" t="s">
        <v>142</v>
      </c>
      <c r="B7" s="195">
        <v>1000</v>
      </c>
      <c r="C7" s="201" t="s">
        <v>66</v>
      </c>
      <c r="D7" s="198">
        <f>B7*CHOOSE('Исходные данные'!$O$2,1,'Исходные данные'!$F$5,'Исходные данные'!$I$5,'Исходные данные'!$K$5)</f>
        <v>1000</v>
      </c>
      <c r="E7" s="195">
        <v>1</v>
      </c>
      <c r="F7" s="198">
        <f t="shared" si="0"/>
        <v>1000</v>
      </c>
      <c r="G7" s="198">
        <f t="shared" si="1"/>
        <v>1000</v>
      </c>
      <c r="H7" s="195">
        <v>1</v>
      </c>
      <c r="I7" s="198">
        <f t="shared" ref="I7:I12" si="2">H7*B7</f>
        <v>1000</v>
      </c>
      <c r="J7" s="198">
        <f t="shared" ref="J7:J12" si="3">D7*H7</f>
        <v>1000</v>
      </c>
    </row>
    <row r="8" spans="1:10" ht="60" customHeight="1" x14ac:dyDescent="0.55000000000000004">
      <c r="A8" s="202" t="s">
        <v>143</v>
      </c>
      <c r="B8" s="195">
        <v>2000</v>
      </c>
      <c r="C8" s="201" t="s">
        <v>66</v>
      </c>
      <c r="D8" s="198">
        <f>B8*CHOOSE('Исходные данные'!$O$2,1,'Исходные данные'!$F$5,'Исходные данные'!$I$5,'Исходные данные'!$K$5)</f>
        <v>2000</v>
      </c>
      <c r="E8" s="195">
        <v>1</v>
      </c>
      <c r="F8" s="198">
        <f t="shared" si="0"/>
        <v>2000</v>
      </c>
      <c r="G8" s="198">
        <f t="shared" si="1"/>
        <v>2000</v>
      </c>
      <c r="H8" s="195">
        <v>1</v>
      </c>
      <c r="I8" s="198">
        <f t="shared" si="2"/>
        <v>2000</v>
      </c>
      <c r="J8" s="198">
        <f t="shared" si="3"/>
        <v>2000</v>
      </c>
    </row>
    <row r="9" spans="1:10" ht="60" customHeight="1" x14ac:dyDescent="0.55000000000000004">
      <c r="A9" s="202" t="s">
        <v>144</v>
      </c>
      <c r="B9" s="195">
        <v>1000</v>
      </c>
      <c r="C9" s="201" t="s">
        <v>66</v>
      </c>
      <c r="D9" s="198">
        <f>B9*CHOOSE('Исходные данные'!$O$2,1,'Исходные данные'!$F$5,'Исходные данные'!$I$5,'Исходные данные'!$K$5)</f>
        <v>1000</v>
      </c>
      <c r="E9" s="195">
        <v>1</v>
      </c>
      <c r="F9" s="198">
        <f t="shared" si="0"/>
        <v>1000</v>
      </c>
      <c r="G9" s="198">
        <f t="shared" si="1"/>
        <v>1000</v>
      </c>
      <c r="H9" s="195">
        <v>1</v>
      </c>
      <c r="I9" s="198">
        <f t="shared" si="2"/>
        <v>1000</v>
      </c>
      <c r="J9" s="198">
        <f t="shared" si="3"/>
        <v>1000</v>
      </c>
    </row>
    <row r="10" spans="1:10" ht="60" customHeight="1" x14ac:dyDescent="0.55000000000000004">
      <c r="A10" s="202" t="s">
        <v>145</v>
      </c>
      <c r="B10" s="195">
        <v>500</v>
      </c>
      <c r="C10" s="201" t="s">
        <v>66</v>
      </c>
      <c r="D10" s="198">
        <f>B10*CHOOSE('Исходные данные'!$O$2,1,'Исходные данные'!$F$5,'Исходные данные'!$I$5,'Исходные данные'!$K$5)</f>
        <v>500</v>
      </c>
      <c r="E10" s="195">
        <v>1</v>
      </c>
      <c r="F10" s="198">
        <f t="shared" si="0"/>
        <v>500</v>
      </c>
      <c r="G10" s="198">
        <f t="shared" si="1"/>
        <v>500</v>
      </c>
      <c r="H10" s="195">
        <v>1</v>
      </c>
      <c r="I10" s="198">
        <f t="shared" si="2"/>
        <v>500</v>
      </c>
      <c r="J10" s="198">
        <f t="shared" si="3"/>
        <v>500</v>
      </c>
    </row>
    <row r="11" spans="1:10" ht="60" customHeight="1" x14ac:dyDescent="0.55000000000000004">
      <c r="A11" s="202" t="s">
        <v>146</v>
      </c>
      <c r="B11" s="195">
        <v>700</v>
      </c>
      <c r="C11" s="201" t="s">
        <v>66</v>
      </c>
      <c r="D11" s="198">
        <f>B11*CHOOSE('Исходные данные'!$O$2,1,'Исходные данные'!$F$5,'Исходные данные'!$I$5,'Исходные данные'!$K$5)</f>
        <v>700</v>
      </c>
      <c r="E11" s="195">
        <v>1</v>
      </c>
      <c r="F11" s="198">
        <f t="shared" si="0"/>
        <v>700</v>
      </c>
      <c r="G11" s="198">
        <f t="shared" si="1"/>
        <v>700</v>
      </c>
      <c r="H11" s="195">
        <v>1</v>
      </c>
      <c r="I11" s="198">
        <f t="shared" si="2"/>
        <v>700</v>
      </c>
      <c r="J11" s="198">
        <f t="shared" si="3"/>
        <v>700</v>
      </c>
    </row>
    <row r="12" spans="1:10" ht="60" customHeight="1" x14ac:dyDescent="0.55000000000000004">
      <c r="A12" s="202" t="s">
        <v>147</v>
      </c>
      <c r="B12" s="195">
        <v>300</v>
      </c>
      <c r="C12" s="201" t="s">
        <v>66</v>
      </c>
      <c r="D12" s="198">
        <f>B12*CHOOSE('Исходные данные'!$O$2,1,'Исходные данные'!$F$5,'Исходные данные'!$I$5,'Исходные данные'!$K$5)</f>
        <v>300</v>
      </c>
      <c r="E12" s="195">
        <v>1</v>
      </c>
      <c r="F12" s="198">
        <f t="shared" si="0"/>
        <v>300</v>
      </c>
      <c r="G12" s="198">
        <f t="shared" si="1"/>
        <v>300</v>
      </c>
      <c r="H12" s="195">
        <v>1</v>
      </c>
      <c r="I12" s="198">
        <f t="shared" si="2"/>
        <v>300</v>
      </c>
      <c r="J12" s="198">
        <f t="shared" si="3"/>
        <v>300</v>
      </c>
    </row>
    <row r="13" spans="1:10" ht="60" customHeight="1" x14ac:dyDescent="0.55000000000000004">
      <c r="A13" s="257" t="s">
        <v>10</v>
      </c>
      <c r="B13" s="257"/>
      <c r="C13" s="257"/>
      <c r="D13" s="257"/>
      <c r="E13" s="257"/>
      <c r="F13" s="198">
        <f>SUM(F6:F12)</f>
        <v>14500</v>
      </c>
      <c r="G13" s="198">
        <f>SUM(G6:G12)</f>
        <v>14500</v>
      </c>
      <c r="H13" s="203"/>
      <c r="I13" s="198">
        <f>SUM(I6:I12)</f>
        <v>14500</v>
      </c>
      <c r="J13" s="198">
        <f>SUM(J6:J12)</f>
        <v>14500</v>
      </c>
    </row>
  </sheetData>
  <mergeCells count="11">
    <mergeCell ref="A1:J1"/>
    <mergeCell ref="A2:J2"/>
    <mergeCell ref="A13:E13"/>
    <mergeCell ref="E4:E5"/>
    <mergeCell ref="H4:H5"/>
    <mergeCell ref="F4:G4"/>
    <mergeCell ref="E3:G3"/>
    <mergeCell ref="H3:J3"/>
    <mergeCell ref="I4:J4"/>
    <mergeCell ref="B3:D4"/>
    <mergeCell ref="A3:A5"/>
  </mergeCells>
  <pageMargins left="1.1811023622047245" right="0.78740157480314965" top="0.78740157480314965" bottom="0.78740157480314965" header="0.31496062992125984" footer="0.31496062992125984"/>
  <pageSetup paperSize="9" scale="3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dimension ref="A1:AA67"/>
  <sheetViews>
    <sheetView showGridLines="0" tabSelected="1" topLeftCell="A54" zoomScale="70" zoomScaleNormal="70" zoomScaleSheetLayoutView="85" workbookViewId="0">
      <selection activeCell="J58" sqref="J58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6.41796875" customWidth="1"/>
    <col min="4" max="4" width="17.26171875" customWidth="1"/>
    <col min="5" max="5" width="18.15625" customWidth="1"/>
    <col min="6" max="6" width="27.3125" customWidth="1"/>
    <col min="7" max="7" width="18.83984375" customWidth="1"/>
    <col min="8" max="8" width="25" customWidth="1"/>
    <col min="9" max="9" width="16.41796875" customWidth="1"/>
    <col min="10" max="10" width="30.5234375" customWidth="1"/>
    <col min="11" max="11" width="11.83984375" customWidth="1"/>
    <col min="12" max="13" width="9.15625" customWidth="1"/>
    <col min="14" max="14" width="1.68359375" hidden="1" customWidth="1"/>
    <col min="15" max="15" width="20.734375" hidden="1" customWidth="1"/>
    <col min="16" max="16" width="1.68359375" customWidth="1"/>
    <col min="17" max="17" width="15.7890625" bestFit="1" customWidth="1"/>
    <col min="18" max="18" width="6.20703125" customWidth="1"/>
    <col min="19" max="19" width="11.7890625" bestFit="1" customWidth="1"/>
    <col min="20" max="20" width="8.83984375" customWidth="1"/>
  </cols>
  <sheetData>
    <row r="1" spans="1:27" ht="34.200000000000003" customHeight="1" x14ac:dyDescent="0.55000000000000004">
      <c r="A1" s="221" t="s">
        <v>117</v>
      </c>
      <c r="B1" s="221"/>
      <c r="C1" s="221"/>
      <c r="D1" s="221"/>
      <c r="E1" s="221"/>
      <c r="F1" s="221"/>
      <c r="G1" s="221"/>
      <c r="H1" s="221"/>
      <c r="I1" s="221"/>
      <c r="J1" s="221"/>
      <c r="K1" s="177"/>
      <c r="N1" s="79">
        <v>1</v>
      </c>
      <c r="O1" s="85" t="str">
        <f>'Исходные данные'!D7</f>
        <v>Премиум</v>
      </c>
      <c r="P1" s="99"/>
      <c r="Q1" s="99"/>
      <c r="R1" s="85"/>
      <c r="S1" s="85"/>
      <c r="T1" s="99"/>
    </row>
    <row r="2" spans="1:27" ht="34.200000000000003" customHeight="1" x14ac:dyDescent="0.55000000000000004">
      <c r="A2" s="307" t="s">
        <v>50</v>
      </c>
      <c r="B2" s="307"/>
      <c r="C2" s="307"/>
      <c r="D2" s="307"/>
      <c r="E2" s="179" t="str">
        <f>CHOOSE('Исходные данные'!$O$2,'Исходные данные'!$P$2,'Исходные данные'!$P$3,'Исходные данные'!$P$4,'Исходные данные'!$P$5)</f>
        <v>USD</v>
      </c>
      <c r="F2" s="306"/>
      <c r="G2" s="306"/>
      <c r="H2" s="306"/>
      <c r="J2" s="76"/>
      <c r="K2" s="76"/>
      <c r="L2" s="77"/>
      <c r="N2" s="85"/>
      <c r="O2" s="85" t="str">
        <f>'Исходные данные'!H7</f>
        <v>Бизнес</v>
      </c>
      <c r="P2" s="99"/>
      <c r="Q2" s="99"/>
      <c r="R2" s="85"/>
      <c r="S2" s="85"/>
      <c r="T2" s="99"/>
    </row>
    <row r="3" spans="1:27" ht="34.200000000000003" customHeight="1" x14ac:dyDescent="0.55000000000000004">
      <c r="A3" s="151" t="s">
        <v>24</v>
      </c>
      <c r="B3" s="84"/>
      <c r="E3" s="179" t="str">
        <f>CHOOSE('Исходные данные'!$Q$2,'Исходные данные'!$R$2,'Исходные данные'!$R$3,'Исходные данные'!$R$4,'Исходные данные'!$R$5,'Исходные данные'!$R$6,'Исходные данные'!$R$7,'Исходные данные'!#REF!,'Исходные данные'!$R$9,'Исходные данные'!$R$10,'Исходные данные'!$R$11,'Исходные данные'!$R$12,'Исходные данные'!$R$13)</f>
        <v>январь</v>
      </c>
      <c r="J3" s="76"/>
      <c r="K3" s="76"/>
      <c r="L3" s="77"/>
      <c r="N3" s="85"/>
      <c r="O3" s="85"/>
      <c r="P3" s="99"/>
      <c r="Q3" s="99"/>
    </row>
    <row r="4" spans="1:27" ht="34.200000000000003" customHeight="1" x14ac:dyDescent="0.55000000000000004">
      <c r="A4" s="305" t="s">
        <v>96</v>
      </c>
      <c r="B4" s="305"/>
      <c r="C4" s="305"/>
      <c r="E4" s="180"/>
      <c r="F4" s="306"/>
      <c r="G4" s="306"/>
      <c r="H4" s="306"/>
      <c r="J4" s="76"/>
      <c r="K4" s="76"/>
      <c r="L4" s="77"/>
      <c r="N4" s="85"/>
      <c r="O4" s="85"/>
      <c r="P4" s="99"/>
      <c r="Q4" s="99"/>
    </row>
    <row r="5" spans="1:27" ht="17.7" customHeight="1" x14ac:dyDescent="0.55000000000000004">
      <c r="A5" s="80"/>
      <c r="E5" s="2"/>
      <c r="O5" s="85"/>
      <c r="P5" s="99"/>
      <c r="Q5" s="99"/>
    </row>
    <row r="6" spans="1:27" ht="34.200000000000003" customHeight="1" x14ac:dyDescent="0.55000000000000004">
      <c r="A6" s="80" t="s">
        <v>52</v>
      </c>
      <c r="O6" s="85"/>
      <c r="P6" s="99"/>
      <c r="Q6" s="99"/>
    </row>
    <row r="7" spans="1:27" s="1" customFormat="1" ht="46.2" customHeight="1" x14ac:dyDescent="0.55000000000000004">
      <c r="A7" s="251" t="s">
        <v>99</v>
      </c>
      <c r="B7" s="251"/>
      <c r="C7" s="251"/>
      <c r="D7" s="310" t="s">
        <v>100</v>
      </c>
      <c r="E7" s="310"/>
      <c r="F7" s="310"/>
      <c r="G7" s="310" t="s">
        <v>114</v>
      </c>
      <c r="H7" s="310"/>
      <c r="I7" s="310" t="s">
        <v>115</v>
      </c>
      <c r="J7" s="310"/>
      <c r="L7" s="71"/>
      <c r="O7" s="71"/>
      <c r="P7" s="73"/>
      <c r="Q7" s="100"/>
      <c r="R7" s="99"/>
      <c r="S7" s="74"/>
    </row>
    <row r="8" spans="1:27" s="1" customFormat="1" ht="63.6" customHeight="1" x14ac:dyDescent="0.55000000000000004">
      <c r="A8" s="251"/>
      <c r="B8" s="251"/>
      <c r="C8" s="251"/>
      <c r="D8" s="237" t="s">
        <v>93</v>
      </c>
      <c r="E8" s="237"/>
      <c r="F8" s="187" t="str">
        <f>"В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данные'!$P$5)&amp;"/мес."</f>
        <v>В валюте, в которой производиться расчет, USD/мес.</v>
      </c>
      <c r="G8" s="187" t="str">
        <f>D8</f>
        <v>USD/мес.</v>
      </c>
      <c r="H8" s="187" t="str">
        <f>"В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данные'!$P$5)&amp;"/мес."</f>
        <v>В валюте, в которой производиться расчет, USD/мес.</v>
      </c>
      <c r="I8" s="187" t="str">
        <f>G8</f>
        <v>USD/мес.</v>
      </c>
      <c r="J8" s="187" t="str">
        <f>"В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данные'!$P$5)&amp;"/мес."</f>
        <v>В валюте, в которой производиться расчет, USD/мес.</v>
      </c>
      <c r="L8" s="71"/>
      <c r="O8" s="71"/>
      <c r="P8" s="73"/>
      <c r="Q8" s="100"/>
      <c r="R8" s="99"/>
      <c r="S8" s="74"/>
    </row>
    <row r="9" spans="1:27" s="1" customFormat="1" ht="35.049999999999997" customHeight="1" x14ac:dyDescent="0.55000000000000004">
      <c r="A9" s="309" t="str">
        <f>'Исходные данные'!A13</f>
        <v>Материалы</v>
      </c>
      <c r="B9" s="309"/>
      <c r="C9" s="309"/>
      <c r="D9" s="215">
        <f>CHOOSE($N$1,'Исходные данные'!C13,'Исходные данные'!F13)</f>
        <v>7142.8571428571431</v>
      </c>
      <c r="E9" s="215"/>
      <c r="F9" s="190">
        <f>D9*CHOOSE('Исходные данные'!$O$2,1,'Исходные данные'!$F$5,'Исходные данные'!$I$5,'Исходные данные'!$K$5)</f>
        <v>7142.8571428571431</v>
      </c>
      <c r="G9" s="190">
        <f>D9*CHOOSE($N$1,'Исходные данные'!I13,'Исходные данные'!K13)</f>
        <v>2142.8571428571427</v>
      </c>
      <c r="H9" s="190">
        <f>G9*CHOOSE('Исходные данные'!$O$2,1,'Исходные данные'!$F$5,'Исходные данные'!$I$5,'Исходные данные'!$K$5)</f>
        <v>2142.8571428571427</v>
      </c>
      <c r="I9" s="190">
        <f>D9-G9</f>
        <v>5000</v>
      </c>
      <c r="J9" s="190">
        <f>I9*CHOOSE('Исходные данные'!$O$2,1,'Исходные данные'!$F$5,'Исходные данные'!$I$5,'Исходные данные'!$K$5)</f>
        <v>5000</v>
      </c>
      <c r="L9" s="71"/>
      <c r="O9" s="71"/>
      <c r="P9" s="73"/>
      <c r="Q9" s="100"/>
      <c r="R9" s="99"/>
      <c r="S9" s="74"/>
    </row>
    <row r="10" spans="1:27" ht="35.049999999999997" customHeight="1" x14ac:dyDescent="0.55000000000000004">
      <c r="A10" s="309" t="str">
        <f>'Исходные данные'!A14</f>
        <v>Оборудование</v>
      </c>
      <c r="B10" s="309"/>
      <c r="C10" s="309"/>
      <c r="D10" s="215">
        <f>CHOOSE($N$1,'Исходные данные'!C14,'Исходные данные'!F14)</f>
        <v>7142.8571428571431</v>
      </c>
      <c r="E10" s="215"/>
      <c r="F10" s="190">
        <f>D10*CHOOSE('Исходные данные'!$O$2,1,'Исходные данные'!$F$5,'Исходные данные'!$I$5,'Исходные данные'!$K$5)</f>
        <v>7142.8571428571431</v>
      </c>
      <c r="G10" s="190">
        <f>D10*CHOOSE($N$1,'Исходные данные'!I14,'Исходные данные'!K14)</f>
        <v>2142.8571428571427</v>
      </c>
      <c r="H10" s="190">
        <f>G10*CHOOSE('Исходные данные'!$O$2,1,'Исходные данные'!$F$5,'Исходные данные'!$I$5,'Исходные данные'!$K$5)</f>
        <v>2142.8571428571427</v>
      </c>
      <c r="I10" s="190">
        <f>D10-G10</f>
        <v>5000</v>
      </c>
      <c r="J10" s="190">
        <f>I10*CHOOSE('Исходные данные'!$O$2,1,'Исходные данные'!$F$5,'Исходные данные'!$I$5,'Исходные данные'!$K$5)</f>
        <v>5000</v>
      </c>
      <c r="L10" s="81"/>
      <c r="O10" s="99"/>
      <c r="P10" s="99"/>
      <c r="Q10" s="75"/>
      <c r="S10" s="75"/>
    </row>
    <row r="11" spans="1:27" ht="35.049999999999997" customHeight="1" x14ac:dyDescent="0.55000000000000004">
      <c r="A11" s="309" t="str">
        <f>'Исходные данные'!A15</f>
        <v>Услуги</v>
      </c>
      <c r="B11" s="309"/>
      <c r="C11" s="309"/>
      <c r="D11" s="215">
        <f>CHOOSE($N$1,'Исходные данные'!C15,'Исходные данные'!F15)</f>
        <v>5714.2857142857147</v>
      </c>
      <c r="E11" s="215"/>
      <c r="F11" s="190">
        <f>D11*CHOOSE('Исходные данные'!$O$2,1,'Исходные данные'!$F$5,'Исходные данные'!$I$5,'Исходные данные'!$K$5)</f>
        <v>5714.2857142857147</v>
      </c>
      <c r="G11" s="190">
        <f>D11*CHOOSE($N$1,'Исходные данные'!I15,'Исходные данные'!K15)</f>
        <v>1142.8571428571429</v>
      </c>
      <c r="H11" s="190">
        <f>G11*CHOOSE('Исходные данные'!$O$2,1,'Исходные данные'!$F$5,'Исходные данные'!$I$5,'Исходные данные'!$K$5)</f>
        <v>1142.8571428571429</v>
      </c>
      <c r="I11" s="190">
        <f>D11-G11</f>
        <v>4571.4285714285716</v>
      </c>
      <c r="J11" s="190">
        <f>I11*CHOOSE('Исходные данные'!$O$2,1,'Исходные данные'!$F$5,'Исходные данные'!$I$5,'Исходные данные'!$K$5)</f>
        <v>4571.4285714285716</v>
      </c>
      <c r="M11" s="170"/>
    </row>
    <row r="12" spans="1:27" s="1" customFormat="1" ht="35.049999999999997" customHeight="1" x14ac:dyDescent="0.55000000000000004">
      <c r="A12" s="309" t="s">
        <v>10</v>
      </c>
      <c r="B12" s="309"/>
      <c r="C12" s="309"/>
      <c r="D12" s="215">
        <f>SUM(D9:E11)</f>
        <v>20000</v>
      </c>
      <c r="E12" s="215"/>
      <c r="F12" s="190">
        <f>SUM(F9:F11)</f>
        <v>20000</v>
      </c>
      <c r="G12" s="190">
        <f>SUM(G9:G11)</f>
        <v>5428.5714285714284</v>
      </c>
      <c r="H12" s="190">
        <f>SUM(H9:H11)</f>
        <v>5428.5714285714284</v>
      </c>
      <c r="I12" s="190">
        <f>SUM(I9:I11)</f>
        <v>14571.428571428572</v>
      </c>
      <c r="J12" s="190">
        <f>SUM(J9:J11)</f>
        <v>14571.428571428572</v>
      </c>
      <c r="L12" s="71"/>
      <c r="M12" s="171"/>
      <c r="O12" s="71"/>
      <c r="P12" s="73"/>
      <c r="Q12" s="100"/>
      <c r="S12" s="74"/>
    </row>
    <row r="13" spans="1:27" ht="34.200000000000003" customHeight="1" x14ac:dyDescent="0.55000000000000004">
      <c r="A13" s="308" t="s">
        <v>101</v>
      </c>
      <c r="B13" s="308"/>
      <c r="C13" s="308"/>
      <c r="D13" s="308"/>
      <c r="E13" s="308"/>
      <c r="F13" s="308"/>
      <c r="G13" s="308"/>
      <c r="H13" s="308"/>
      <c r="I13" s="308"/>
      <c r="J13" s="308"/>
    </row>
    <row r="14" spans="1:27" ht="34.200000000000003" customHeight="1" x14ac:dyDescent="0.55000000000000004">
      <c r="A14" s="185" t="s">
        <v>57</v>
      </c>
      <c r="G14" s="4"/>
      <c r="H14" s="4"/>
      <c r="I14" s="4"/>
    </row>
    <row r="15" spans="1:27" ht="44.4" customHeight="1" x14ac:dyDescent="0.6">
      <c r="D15" s="237" t="s">
        <v>66</v>
      </c>
      <c r="E15" s="237"/>
      <c r="F15" s="237"/>
      <c r="G15" s="237" t="str">
        <f>"В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данные'!$P$5)&amp;""</f>
        <v>В валюте, в которой производиться расчет, USD</v>
      </c>
      <c r="H15" s="237"/>
      <c r="I15" s="237"/>
      <c r="J15" s="237"/>
      <c r="K15" s="86"/>
      <c r="L15" s="86"/>
      <c r="O15" s="87"/>
      <c r="P15" s="87"/>
      <c r="R15" s="87"/>
      <c r="S15" s="87"/>
      <c r="T15" s="87"/>
      <c r="U15" s="87"/>
      <c r="V15" s="87"/>
      <c r="W15" s="87"/>
      <c r="X15" s="87"/>
      <c r="Y15" s="87"/>
      <c r="Z15" s="87"/>
      <c r="AA15" s="87"/>
    </row>
    <row r="16" spans="1:27" ht="42" customHeight="1" x14ac:dyDescent="0.6">
      <c r="A16" s="86"/>
      <c r="B16" s="204" t="str">
        <f>'Исходные данные'!B20:C20</f>
        <v>Ремонт помещения</v>
      </c>
      <c r="C16" s="205"/>
      <c r="D16" s="302">
        <f>CHOOSE($N$1,'Исходные данные'!D20,'Исходные данные'!H20)</f>
        <v>0</v>
      </c>
      <c r="E16" s="303"/>
      <c r="F16" s="304"/>
      <c r="G16" s="208">
        <f>D16*CHOOSE('Исходные данные'!$O$2,1,'Исходные данные'!$F$5,'Исходные данные'!$I$5,'Исходные данные'!$K$5)</f>
        <v>0</v>
      </c>
      <c r="H16" s="208"/>
      <c r="I16" s="208"/>
      <c r="J16" s="208"/>
      <c r="K16" s="88"/>
      <c r="N16" s="87"/>
      <c r="O16" s="87"/>
      <c r="P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7" ht="42" customHeight="1" x14ac:dyDescent="0.6">
      <c r="A17" s="86"/>
      <c r="B17" s="204" t="str">
        <f>'Исходные данные'!B21:C21</f>
        <v>Мебель</v>
      </c>
      <c r="C17" s="205"/>
      <c r="D17" s="302">
        <f>CHOOSE($N$1,'Исходные данные'!D21,'Исходные данные'!H21)</f>
        <v>357.14285714285717</v>
      </c>
      <c r="E17" s="303"/>
      <c r="F17" s="304"/>
      <c r="G17" s="208">
        <f>D17*CHOOSE('Исходные данные'!$O$2,1,'Исходные данные'!$F$5,'Исходные данные'!$I$5,'Исходные данные'!$K$5)</f>
        <v>357.14285714285717</v>
      </c>
      <c r="H17" s="208"/>
      <c r="I17" s="208"/>
      <c r="J17" s="208"/>
      <c r="K17" s="88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7" ht="42" customHeight="1" x14ac:dyDescent="0.6">
      <c r="A18" s="86"/>
      <c r="B18" s="204" t="s">
        <v>121</v>
      </c>
      <c r="C18" s="205"/>
      <c r="D18" s="302">
        <f>CHOOSE($N$1,'Исходные данные'!D22,'Исходные данные'!H22)</f>
        <v>14500</v>
      </c>
      <c r="E18" s="303"/>
      <c r="F18" s="304"/>
      <c r="G18" s="208">
        <f>D18*CHOOSE('Исходные данные'!$O$2,1,'Исходные данные'!$F$5,'Исходные данные'!$I$5,'Исходные данные'!$K$5)</f>
        <v>14500</v>
      </c>
      <c r="H18" s="208"/>
      <c r="I18" s="208"/>
      <c r="J18" s="208"/>
      <c r="K18" s="88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7" ht="42" customHeight="1" x14ac:dyDescent="0.6">
      <c r="A19" s="86"/>
      <c r="B19" s="204" t="str">
        <f>'Исходные данные'!B23:C23</f>
        <v>Складское оборудование</v>
      </c>
      <c r="C19" s="205"/>
      <c r="D19" s="302">
        <f>CHOOSE($N$1,'Исходные данные'!D23,'Исходные данные'!H23)</f>
        <v>357.14285714285717</v>
      </c>
      <c r="E19" s="303"/>
      <c r="F19" s="304"/>
      <c r="G19" s="208">
        <f>D19*CHOOSE('Исходные данные'!$O$2,1,'Исходные данные'!$F$5,'Исходные данные'!$I$5,'Исходные данные'!$K$5)</f>
        <v>357.14285714285717</v>
      </c>
      <c r="H19" s="208"/>
      <c r="I19" s="208"/>
      <c r="J19" s="208"/>
      <c r="K19" s="88"/>
      <c r="N19" s="87"/>
      <c r="O19" s="87"/>
      <c r="P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7" ht="42" customHeight="1" x14ac:dyDescent="0.6">
      <c r="A20" s="86"/>
      <c r="B20" s="204" t="str">
        <f>'Исходные данные'!B24:C24</f>
        <v>Компьютеры</v>
      </c>
      <c r="C20" s="205"/>
      <c r="D20" s="302">
        <f>CHOOSE($N$1,'Исходные данные'!D24,'Исходные данные'!H24)</f>
        <v>357.14285714285717</v>
      </c>
      <c r="E20" s="303"/>
      <c r="F20" s="304"/>
      <c r="G20" s="208">
        <f>D20*CHOOSE('Исходные данные'!$O$2,1,'Исходные данные'!$F$5,'Исходные данные'!$I$5,'Исходные данные'!$K$5)</f>
        <v>357.14285714285717</v>
      </c>
      <c r="H20" s="208"/>
      <c r="I20" s="208"/>
      <c r="J20" s="208"/>
      <c r="K20" s="88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</row>
    <row r="21" spans="1:27" ht="42" customHeight="1" x14ac:dyDescent="0.6">
      <c r="A21" s="149"/>
      <c r="B21" s="204" t="s">
        <v>58</v>
      </c>
      <c r="C21" s="205"/>
      <c r="D21" s="302">
        <f>CHOOSE($N$1,'Исходные данные'!D25,'Исходные данные'!H25)</f>
        <v>0</v>
      </c>
      <c r="E21" s="303"/>
      <c r="F21" s="304"/>
      <c r="G21" s="208">
        <f>D21*CHOOSE('Исходные данные'!$O$2,1,'Исходные данные'!$F$5,'Исходные данные'!$I$5,'Исходные данные'!$K$5)</f>
        <v>0</v>
      </c>
      <c r="H21" s="208"/>
      <c r="I21" s="208"/>
      <c r="J21" s="208"/>
      <c r="K21" s="88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</row>
    <row r="22" spans="1:27" ht="42" customHeight="1" x14ac:dyDescent="0.6">
      <c r="A22" s="149"/>
      <c r="B22" s="204" t="s">
        <v>56</v>
      </c>
      <c r="C22" s="205"/>
      <c r="D22" s="302">
        <f>CHOOSE($N$1,'Исходные данные'!D26,'Исходные данные'!H26)</f>
        <v>71.428571428571431</v>
      </c>
      <c r="E22" s="303"/>
      <c r="F22" s="304"/>
      <c r="G22" s="208">
        <f>D22*CHOOSE('Исходные данные'!$O$2,1,'Исходные данные'!$F$5,'Исходные данные'!$I$5,'Исходные данные'!$K$5)</f>
        <v>71.428571428571431</v>
      </c>
      <c r="H22" s="208"/>
      <c r="I22" s="208"/>
      <c r="J22" s="208"/>
      <c r="K22" s="88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</row>
    <row r="23" spans="1:27" ht="42" customHeight="1" x14ac:dyDescent="0.6">
      <c r="A23" s="149"/>
      <c r="B23" s="204" t="str">
        <f>'Исходные данные'!B27:C27</f>
        <v>Первоначальная закупка товара</v>
      </c>
      <c r="C23" s="205"/>
      <c r="D23" s="302">
        <f>CHOOSE($N$1,'Исходные данные'!D27,'Исходные данные'!H27)</f>
        <v>0</v>
      </c>
      <c r="E23" s="303"/>
      <c r="F23" s="304"/>
      <c r="G23" s="208">
        <f>D23*CHOOSE('Исходные данные'!$O$2,1,'Исходные данные'!$F$5,'Исходные данные'!$I$5,'Исходные данные'!$K$5)</f>
        <v>0</v>
      </c>
      <c r="H23" s="208"/>
      <c r="I23" s="208"/>
      <c r="J23" s="208"/>
      <c r="K23" s="88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</row>
    <row r="24" spans="1:27" ht="42" customHeight="1" x14ac:dyDescent="0.6">
      <c r="A24" s="149"/>
      <c r="B24" s="204" t="str">
        <f>'Исходные данные'!B28:C28</f>
        <v>Допуск для высотных работ**</v>
      </c>
      <c r="C24" s="205"/>
      <c r="D24" s="302">
        <f>CHOOSE($N$1,'Исходные данные'!D28,'Исходные данные'!H28)</f>
        <v>71.428571428571431</v>
      </c>
      <c r="E24" s="303"/>
      <c r="F24" s="304"/>
      <c r="G24" s="208">
        <f>D24*CHOOSE('Исходные данные'!$O$2,1,'Исходные данные'!$F$5,'Исходные данные'!$I$5,'Исходные данные'!$K$5)</f>
        <v>71.428571428571431</v>
      </c>
      <c r="H24" s="208"/>
      <c r="I24" s="208"/>
      <c r="J24" s="208"/>
      <c r="K24" s="88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</row>
    <row r="25" spans="1:27" ht="42" customHeight="1" x14ac:dyDescent="0.6">
      <c r="A25" s="86"/>
      <c r="B25" s="204" t="s">
        <v>69</v>
      </c>
      <c r="C25" s="205"/>
      <c r="D25" s="302">
        <f>CHOOSE($N$1,'Исходные данные'!D29,'Исходные данные'!H29)</f>
        <v>71.428571428571431</v>
      </c>
      <c r="E25" s="303"/>
      <c r="F25" s="304"/>
      <c r="G25" s="208">
        <f>D25*CHOOSE('Исходные данные'!$O$2,1,'Исходные данные'!$F$5,'Исходные данные'!$I$5,'Исходные данные'!$K$5)</f>
        <v>71.428571428571431</v>
      </c>
      <c r="H25" s="208"/>
      <c r="I25" s="208"/>
      <c r="J25" s="208"/>
      <c r="K25" s="88"/>
      <c r="N25" s="87"/>
      <c r="O25" s="87"/>
      <c r="P25" s="87"/>
      <c r="R25" s="87"/>
      <c r="S25" s="87"/>
      <c r="T25" s="87"/>
      <c r="U25" s="87"/>
      <c r="V25" s="87"/>
      <c r="W25" s="87"/>
      <c r="X25" s="87"/>
      <c r="Y25" s="87"/>
      <c r="Z25" s="87"/>
    </row>
    <row r="26" spans="1:27" ht="42" customHeight="1" x14ac:dyDescent="0.6">
      <c r="A26" s="86"/>
      <c r="B26" s="204" t="s">
        <v>23</v>
      </c>
      <c r="C26" s="205"/>
      <c r="D26" s="302">
        <f>CHOOSE($N$1,'Исходные данные'!D30,'Исходные данные'!H30)</f>
        <v>10000</v>
      </c>
      <c r="E26" s="303"/>
      <c r="F26" s="304"/>
      <c r="G26" s="208">
        <f>D26*CHOOSE('Исходные данные'!$O$2,1,'Исходные данные'!$F$5,'Исходные данные'!$I$5,'Исходные данные'!$K$5)</f>
        <v>10000</v>
      </c>
      <c r="H26" s="208"/>
      <c r="I26" s="208"/>
      <c r="J26" s="208"/>
      <c r="K26" s="88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</row>
    <row r="27" spans="1:27" ht="42" customHeight="1" x14ac:dyDescent="0.6">
      <c r="A27" s="86"/>
      <c r="B27" s="204" t="s">
        <v>2</v>
      </c>
      <c r="C27" s="205"/>
      <c r="D27" s="302">
        <f>CHOOSE($N$1,'Исходные данные'!D31,'Исходные данные'!H31)</f>
        <v>0</v>
      </c>
      <c r="E27" s="303"/>
      <c r="F27" s="304"/>
      <c r="G27" s="208">
        <f>D27*CHOOSE('Исходные данные'!$O$2,1,'Исходные данные'!$F$5,'Исходные данные'!$I$5,'Исходные данные'!$K$5)</f>
        <v>0</v>
      </c>
      <c r="H27" s="208"/>
      <c r="I27" s="208"/>
      <c r="J27" s="208"/>
      <c r="K27" s="88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</row>
    <row r="28" spans="1:27" ht="42" customHeight="1" x14ac:dyDescent="0.6">
      <c r="A28" s="86"/>
      <c r="B28" s="238" t="s">
        <v>0</v>
      </c>
      <c r="C28" s="239"/>
      <c r="D28" s="287">
        <f>SUM(D16:F27)</f>
        <v>25785.714285714283</v>
      </c>
      <c r="E28" s="288"/>
      <c r="F28" s="289"/>
      <c r="G28" s="211">
        <f>SUM(G16:I27)</f>
        <v>25785.714285714283</v>
      </c>
      <c r="H28" s="211"/>
      <c r="I28" s="211"/>
      <c r="J28" s="211"/>
      <c r="K28" s="88"/>
      <c r="L28" s="102"/>
      <c r="N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</row>
    <row r="29" spans="1:27" ht="34.200000000000003" customHeight="1" x14ac:dyDescent="0.6">
      <c r="A29" s="209" t="str">
        <f>'Исходные данные'!A33</f>
        <v xml:space="preserve"> * - инвестиции в оборудование вносятся на странице "Инвестиции в оборудование".
 ** - затраты на "Допуск для высотных работ" осуществляются раз в год. Со 2-го года работы данные затраты будут указываться ежегодно в текущих затратах.</v>
      </c>
      <c r="B29" s="209"/>
      <c r="C29" s="209"/>
      <c r="D29" s="209"/>
      <c r="E29" s="209"/>
      <c r="F29" s="209"/>
      <c r="G29" s="209"/>
      <c r="H29" s="209"/>
      <c r="I29" s="209"/>
      <c r="J29" s="209"/>
      <c r="K29" s="88"/>
      <c r="N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</row>
    <row r="30" spans="1:27" ht="34.200000000000003" customHeight="1" x14ac:dyDescent="0.7">
      <c r="A30" s="80" t="s">
        <v>70</v>
      </c>
      <c r="B30" s="160"/>
      <c r="C30" s="160"/>
      <c r="D30" s="160"/>
      <c r="E30" s="160"/>
      <c r="F30" s="160"/>
      <c r="G30" s="160"/>
      <c r="H30" s="160"/>
      <c r="I30" s="160"/>
      <c r="J30" s="160"/>
      <c r="K30" s="88"/>
      <c r="N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</row>
    <row r="31" spans="1:27" ht="34.200000000000003" customHeight="1" x14ac:dyDescent="0.6">
      <c r="A31" s="217" t="s">
        <v>71</v>
      </c>
      <c r="B31" s="217"/>
      <c r="C31" s="217"/>
      <c r="D31" s="217" t="s">
        <v>72</v>
      </c>
      <c r="E31" s="299" t="s">
        <v>91</v>
      </c>
      <c r="F31" s="300"/>
      <c r="G31" s="301"/>
      <c r="H31" s="295" t="s">
        <v>103</v>
      </c>
      <c r="I31" s="296"/>
      <c r="J31" s="217" t="s">
        <v>104</v>
      </c>
      <c r="L31" s="88"/>
      <c r="O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</row>
    <row r="32" spans="1:27" ht="45.9" customHeight="1" x14ac:dyDescent="0.6">
      <c r="A32" s="217"/>
      <c r="B32" s="217"/>
      <c r="C32" s="217"/>
      <c r="D32" s="217"/>
      <c r="E32" s="181" t="str">
        <f>D8</f>
        <v>USD/мес.</v>
      </c>
      <c r="F32" s="299" t="str">
        <f>F8</f>
        <v>В валюте, в которой производиться расчет, USD/мес.</v>
      </c>
      <c r="G32" s="301"/>
      <c r="H32" s="297"/>
      <c r="I32" s="298"/>
      <c r="J32" s="217"/>
      <c r="L32" s="88"/>
      <c r="O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1" customFormat="1" ht="40" customHeight="1" x14ac:dyDescent="0.55000000000000004">
      <c r="A33" s="290" t="str">
        <f>CHOOSE($N$1,'Исходные данные'!A38,'Исходные данные'!A46)</f>
        <v>Директор</v>
      </c>
      <c r="B33" s="290"/>
      <c r="C33" s="290"/>
      <c r="D33" s="178">
        <f>CHOOSE($N$1,'Исходные данные'!D38,'Исходные данные'!D46)</f>
        <v>0</v>
      </c>
      <c r="E33" s="178">
        <f>CHOOSE($N$1,'Исходные данные'!E38,'Исходные данные'!E46)</f>
        <v>0</v>
      </c>
      <c r="F33" s="293">
        <f>E33*CHOOSE('Исходные данные'!$O$2,1,'Исходные данные'!$F$5,'Исходные данные'!$I$5,'Исходные данные'!$K$5)</f>
        <v>0</v>
      </c>
      <c r="G33" s="294"/>
      <c r="H33" s="291">
        <f>CHOOSE($N$1,'Исходные данные'!I38,'Исходные данные'!I46)</f>
        <v>0</v>
      </c>
      <c r="I33" s="292"/>
      <c r="J33" s="175" t="str">
        <f>CHOOSE($N$1,'Исходные данные'!K38,'Исходные данные'!K46)</f>
        <v>общая выручка</v>
      </c>
      <c r="L33" s="88"/>
      <c r="N33" s="163"/>
      <c r="O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4"/>
    </row>
    <row r="34" spans="1:27" s="1" customFormat="1" ht="40" customHeight="1" x14ac:dyDescent="0.55000000000000004">
      <c r="A34" s="290" t="str">
        <f>CHOOSE($N$1,'Исходные данные'!A39,'Исходные данные'!A47)</f>
        <v>Продавец</v>
      </c>
      <c r="B34" s="290"/>
      <c r="C34" s="290"/>
      <c r="D34" s="192">
        <f>CHOOSE($N$1,'Исходные данные'!D39,'Исходные данные'!D47)</f>
        <v>2</v>
      </c>
      <c r="E34" s="192">
        <f>CHOOSE($N$1,'Исходные данные'!E39,'Исходные данные'!E47)</f>
        <v>285.71428571428572</v>
      </c>
      <c r="F34" s="293">
        <f>E34*CHOOSE('Исходные данные'!$O$2,1,'Исходные данные'!$F$5,'Исходные данные'!$I$5,'Исходные данные'!$K$5)</f>
        <v>285.71428571428572</v>
      </c>
      <c r="G34" s="294"/>
      <c r="H34" s="291">
        <f>CHOOSE($N$1,'Исходные данные'!I39,'Исходные данные'!I47)</f>
        <v>0.01</v>
      </c>
      <c r="I34" s="292"/>
      <c r="J34" s="175" t="str">
        <f>CHOOSE($N$1,'Исходные данные'!K39,'Исходные данные'!K47)</f>
        <v>общая выручка</v>
      </c>
      <c r="L34" s="88"/>
      <c r="N34" s="163"/>
      <c r="O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  <c r="AA34" s="164"/>
    </row>
    <row r="35" spans="1:27" s="1" customFormat="1" ht="40" customHeight="1" x14ac:dyDescent="0.55000000000000004">
      <c r="A35" s="290">
        <f>CHOOSE($N$1,'Исходные данные'!A40,'Исходные данные'!A48)</f>
        <v>0</v>
      </c>
      <c r="B35" s="290"/>
      <c r="C35" s="290"/>
      <c r="D35" s="192">
        <f>CHOOSE($N$1,'Исходные данные'!D40,'Исходные данные'!D48)</f>
        <v>0</v>
      </c>
      <c r="E35" s="192">
        <f>CHOOSE($N$1,'Исходные данные'!E40,'Исходные данные'!E48)</f>
        <v>0</v>
      </c>
      <c r="F35" s="293">
        <f>E35*CHOOSE('Исходные данные'!$O$2,1,'Исходные данные'!$F$5,'Исходные данные'!$I$5,'Исходные данные'!$K$5)</f>
        <v>0</v>
      </c>
      <c r="G35" s="294"/>
      <c r="H35" s="291">
        <f>CHOOSE($N$1,'Исходные данные'!I40,'Исходные данные'!I48)</f>
        <v>0</v>
      </c>
      <c r="I35" s="292"/>
      <c r="J35" s="175" t="str">
        <f>CHOOSE($N$1,'Исходные данные'!K40,'Исходные данные'!K48)</f>
        <v>общая выручка</v>
      </c>
      <c r="L35" s="88"/>
      <c r="N35" s="163"/>
      <c r="O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</row>
    <row r="36" spans="1:27" s="1" customFormat="1" ht="40" customHeight="1" x14ac:dyDescent="0.55000000000000004">
      <c r="A36" s="290" t="str">
        <f>CHOOSE($N$1,'Исходные данные'!A41,'Исходные данные'!A49)</f>
        <v>Бухгалтер</v>
      </c>
      <c r="B36" s="290"/>
      <c r="C36" s="290"/>
      <c r="D36" s="192">
        <f>CHOOSE($N$1,'Исходные данные'!D41,'Исходные данные'!D49)</f>
        <v>0</v>
      </c>
      <c r="E36" s="192">
        <f>CHOOSE($N$1,'Исходные данные'!E41,'Исходные данные'!E49)</f>
        <v>0</v>
      </c>
      <c r="F36" s="293">
        <f>E36*CHOOSE('Исходные данные'!$O$2,1,'Исходные данные'!$F$5,'Исходные данные'!$I$5,'Исходные данные'!$K$5)</f>
        <v>0</v>
      </c>
      <c r="G36" s="294"/>
      <c r="H36" s="291">
        <f>CHOOSE($N$1,'Исходные данные'!I41,'Исходные данные'!I49)</f>
        <v>0</v>
      </c>
      <c r="I36" s="292"/>
      <c r="J36" s="175" t="str">
        <f>CHOOSE($N$1,'Исходные данные'!K41,'Исходные данные'!K49)</f>
        <v>общая выручка</v>
      </c>
      <c r="L36" s="88"/>
      <c r="N36" s="163"/>
      <c r="O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</row>
    <row r="37" spans="1:27" ht="34.200000000000003" customHeight="1" x14ac:dyDescent="0.7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88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</row>
    <row r="38" spans="1:27" ht="34.200000000000003" customHeight="1" x14ac:dyDescent="0.55000000000000004">
      <c r="A38" s="80" t="s">
        <v>1</v>
      </c>
      <c r="D38" s="234" t="s">
        <v>82</v>
      </c>
      <c r="E38" s="234"/>
      <c r="G38" s="234" t="s">
        <v>92</v>
      </c>
      <c r="H38" s="234"/>
      <c r="I38" s="234"/>
      <c r="J38" s="234"/>
      <c r="L38" s="1"/>
    </row>
    <row r="39" spans="1:27" ht="34.200000000000003" customHeight="1" x14ac:dyDescent="0.55000000000000004">
      <c r="A39" s="80"/>
      <c r="D39" s="234"/>
      <c r="E39" s="234"/>
      <c r="G39" s="286" t="s">
        <v>111</v>
      </c>
      <c r="H39" s="286"/>
      <c r="I39" s="286" t="str">
        <f>G57</f>
        <v>В валюте, в которой производиться расчет, USD/мес.</v>
      </c>
      <c r="J39" s="286"/>
      <c r="L39" s="1"/>
    </row>
    <row r="40" spans="1:27" ht="42" customHeight="1" x14ac:dyDescent="0.55000000000000004">
      <c r="A40" s="2"/>
      <c r="B40" s="204" t="s">
        <v>46</v>
      </c>
      <c r="C40" s="205"/>
      <c r="D40" s="255">
        <f>I40/'Детальный расчет'!$P$17</f>
        <v>9.1632653061224478E-2</v>
      </c>
      <c r="E40" s="255"/>
      <c r="G40" s="267">
        <f>I40/CHOOSE('Исходные данные'!$O$2,1,'Исходные данные'!$F$5,'Исходные данные'!$I$5,'Исходные данные'!$K$5)</f>
        <v>641.42857142857144</v>
      </c>
      <c r="H40" s="268"/>
      <c r="I40" s="246">
        <f>'Детальный расчет'!P45</f>
        <v>641.42857142857144</v>
      </c>
      <c r="J40" s="246"/>
    </row>
    <row r="41" spans="1:27" ht="42" customHeight="1" x14ac:dyDescent="0.55000000000000004">
      <c r="A41" s="131"/>
      <c r="B41" s="204" t="s">
        <v>131</v>
      </c>
      <c r="C41" s="205"/>
      <c r="D41" s="282">
        <f>CHOOSE($N$1,'Исходные данные'!D55,'Исходные данные'!H55)</f>
        <v>0.2</v>
      </c>
      <c r="E41" s="283"/>
      <c r="F41" s="161" t="s">
        <v>75</v>
      </c>
      <c r="G41" s="267">
        <f>I41/CHOOSE('Исходные данные'!$O$2,1,'Исходные данные'!$F$5,'Исходные данные'!$I$5,'Исходные данные'!$K$5)</f>
        <v>1400</v>
      </c>
      <c r="H41" s="268"/>
      <c r="I41" s="246">
        <f>'Детальный расчет'!P46</f>
        <v>1400</v>
      </c>
      <c r="J41" s="246"/>
    </row>
    <row r="42" spans="1:27" ht="42" customHeight="1" x14ac:dyDescent="0.55000000000000004">
      <c r="A42" s="89"/>
      <c r="B42" s="284" t="s">
        <v>81</v>
      </c>
      <c r="C42" s="285"/>
      <c r="D42" s="255">
        <f>I42/'Детальный расчет'!$P$17</f>
        <v>0.27142857142857135</v>
      </c>
      <c r="E42" s="255"/>
      <c r="G42" s="267">
        <f>I42/CHOOSE('Исходные данные'!$O$2,1,'Исходные данные'!$F$5,'Исходные данные'!$I$5,'Исходные данные'!$K$5)</f>
        <v>1899.9999999999998</v>
      </c>
      <c r="H42" s="268"/>
      <c r="I42" s="208">
        <f>'Детальный расчет'!P23</f>
        <v>1899.9999999999998</v>
      </c>
      <c r="J42" s="208"/>
    </row>
    <row r="43" spans="1:27" ht="42" customHeight="1" x14ac:dyDescent="0.6">
      <c r="A43" s="86"/>
      <c r="B43" s="219" t="s">
        <v>59</v>
      </c>
      <c r="C43" s="220"/>
      <c r="D43" s="255">
        <f>I43/'Детальный расчет'!$P$17</f>
        <v>2.551020408163265E-2</v>
      </c>
      <c r="E43" s="255"/>
      <c r="F43" s="144"/>
      <c r="G43" s="267">
        <f>CHOOSE($N$1,'Исходные данные'!D56,'Исходные данные'!H56)</f>
        <v>178.57142857142858</v>
      </c>
      <c r="H43" s="268"/>
      <c r="I43" s="246">
        <f>G43*CHOOSE('Исходные данные'!$O$2,1,'Исходные данные'!$F$5,'Исходные данные'!$I$5,'Исходные данные'!$K$5)</f>
        <v>178.57142857142858</v>
      </c>
      <c r="J43" s="246"/>
      <c r="K43" s="90"/>
      <c r="L43" s="86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</row>
    <row r="44" spans="1:27" ht="42" customHeight="1" x14ac:dyDescent="0.6">
      <c r="A44" s="86"/>
      <c r="B44" s="219" t="s">
        <v>60</v>
      </c>
      <c r="C44" s="220"/>
      <c r="D44" s="255">
        <f>I44/'Детальный расчет'!$P$17</f>
        <v>1.020408163265306E-2</v>
      </c>
      <c r="E44" s="255"/>
      <c r="F44" s="144"/>
      <c r="G44" s="267">
        <f>CHOOSE($N$1,'Исходные данные'!D57,'Исходные данные'!H57)</f>
        <v>71.428571428571431</v>
      </c>
      <c r="H44" s="268"/>
      <c r="I44" s="246">
        <f>G44*CHOOSE('Исходные данные'!$O$2,1,'Исходные данные'!$F$5,'Исходные данные'!$I$5,'Исходные данные'!$K$5)</f>
        <v>71.428571428571431</v>
      </c>
      <c r="J44" s="246"/>
      <c r="K44" s="90"/>
      <c r="L44" s="86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</row>
    <row r="45" spans="1:27" ht="42" customHeight="1" x14ac:dyDescent="0.55000000000000004">
      <c r="A45" s="2"/>
      <c r="B45" s="204" t="s">
        <v>51</v>
      </c>
      <c r="C45" s="205"/>
      <c r="D45" s="255">
        <f>I45/'Детальный расчет'!$P$17</f>
        <v>1.020408163265306E-2</v>
      </c>
      <c r="E45" s="255"/>
      <c r="G45" s="267">
        <f>CHOOSE($N$1,'Исходные данные'!D58,'Исходные данные'!H58)</f>
        <v>71.428571428571431</v>
      </c>
      <c r="H45" s="268"/>
      <c r="I45" s="246">
        <f>G45*CHOOSE('Исходные данные'!$O$2,1,'Исходные данные'!$F$5,'Исходные данные'!$I$5,'Исходные данные'!$K$5)</f>
        <v>71.428571428571431</v>
      </c>
      <c r="J45" s="246"/>
    </row>
    <row r="46" spans="1:27" ht="42" customHeight="1" x14ac:dyDescent="0.55000000000000004">
      <c r="A46" s="2"/>
      <c r="B46" s="204" t="s">
        <v>127</v>
      </c>
      <c r="C46" s="205"/>
      <c r="D46" s="255">
        <f>I46/'Детальный расчет'!$P$17</f>
        <v>1.5306122448979589E-3</v>
      </c>
      <c r="E46" s="255"/>
      <c r="G46" s="267">
        <f>CHOOSE($N$1,'Исходные данные'!D59,'Исходные данные'!H59)</f>
        <v>10.714285714285714</v>
      </c>
      <c r="H46" s="268"/>
      <c r="I46" s="246">
        <f>G46*CHOOSE('Исходные данные'!$O$2,1,'Исходные данные'!$F$5,'Исходные данные'!$I$5,'Исходные данные'!$K$5)</f>
        <v>10.714285714285714</v>
      </c>
      <c r="J46" s="246"/>
    </row>
    <row r="47" spans="1:27" ht="42" customHeight="1" x14ac:dyDescent="0.55000000000000004">
      <c r="A47" s="2"/>
      <c r="B47" s="224" t="s">
        <v>73</v>
      </c>
      <c r="C47" s="224"/>
      <c r="D47" s="255">
        <f>I47/'Детальный расчет'!$P$17</f>
        <v>1.020408163265306E-2</v>
      </c>
      <c r="E47" s="255"/>
      <c r="G47" s="267">
        <f>CHOOSE($N$1,'Исходные данные'!D60,'Исходные данные'!H60)</f>
        <v>71.428571428571431</v>
      </c>
      <c r="H47" s="268"/>
      <c r="I47" s="246">
        <f>G47*CHOOSE('Исходные данные'!$O$2,1,'Исходные данные'!$F$5,'Исходные данные'!$I$5,'Исходные данные'!$K$5)</f>
        <v>71.428571428571431</v>
      </c>
      <c r="J47" s="246"/>
    </row>
    <row r="48" spans="1:27" ht="42" customHeight="1" x14ac:dyDescent="0.55000000000000004">
      <c r="A48" s="2"/>
      <c r="B48" s="204" t="s">
        <v>78</v>
      </c>
      <c r="C48" s="205"/>
      <c r="D48" s="255">
        <f>I48/'Детальный расчет'!$P$17</f>
        <v>5.1020408163265302E-3</v>
      </c>
      <c r="E48" s="255"/>
      <c r="G48" s="267">
        <f>CHOOSE($N$1,'Исходные данные'!D61,'Исходные данные'!H61)</f>
        <v>35.714285714285715</v>
      </c>
      <c r="H48" s="268"/>
      <c r="I48" s="246">
        <f>G48*CHOOSE('Исходные данные'!$O$2,1,'Исходные данные'!$F$5,'Исходные данные'!$I$5,'Исходные данные'!$K$5)</f>
        <v>35.714285714285715</v>
      </c>
      <c r="J48" s="246"/>
    </row>
    <row r="49" spans="1:26" ht="42" customHeight="1" x14ac:dyDescent="0.55000000000000004">
      <c r="A49" s="2"/>
      <c r="B49" s="204" t="s">
        <v>74</v>
      </c>
      <c r="C49" s="205"/>
      <c r="D49" s="255">
        <f>I49/'Детальный расчет'!$P$17</f>
        <v>1.5306122448979589E-3</v>
      </c>
      <c r="E49" s="255"/>
      <c r="G49" s="267">
        <f>CHOOSE($N$1,'Исходные данные'!D62,'Исходные данные'!H62)</f>
        <v>10.714285714285714</v>
      </c>
      <c r="H49" s="268"/>
      <c r="I49" s="246">
        <f>G49*CHOOSE('Исходные данные'!$O$2,1,'Исходные данные'!$F$5,'Исходные данные'!$I$5,'Исходные данные'!$K$5)</f>
        <v>10.714285714285714</v>
      </c>
      <c r="J49" s="246"/>
    </row>
    <row r="50" spans="1:26" ht="42" customHeight="1" x14ac:dyDescent="0.55000000000000004">
      <c r="A50" s="2"/>
      <c r="B50" s="204" t="s">
        <v>128</v>
      </c>
      <c r="C50" s="205"/>
      <c r="D50" s="255">
        <f>I50/2/'Детальный расчет'!$P$17</f>
        <v>2.5510204081632651E-3</v>
      </c>
      <c r="E50" s="255"/>
      <c r="G50" s="267">
        <f>CHOOSE($N$1,'Исходные данные'!D63,'Исходные данные'!H63)*(D33+D34+D35)</f>
        <v>35.714285714285715</v>
      </c>
      <c r="H50" s="268"/>
      <c r="I50" s="246">
        <f>G50*CHOOSE('Исходные данные'!$O$2,1,'Исходные данные'!$F$5,'Исходные данные'!$I$5,'Исходные данные'!$K$5)</f>
        <v>35.714285714285715</v>
      </c>
      <c r="J50" s="246"/>
    </row>
    <row r="51" spans="1:26" ht="42" customHeight="1" x14ac:dyDescent="0.55000000000000004">
      <c r="A51" s="2"/>
      <c r="B51" s="204" t="s">
        <v>85</v>
      </c>
      <c r="C51" s="205"/>
      <c r="D51" s="255">
        <f>I51/'Детальный расчет'!$P$17</f>
        <v>1.020408163265306E-2</v>
      </c>
      <c r="E51" s="255"/>
      <c r="G51" s="267">
        <f>CHOOSE($N$1,'Исходные данные'!D64,'Исходные данные'!H64)</f>
        <v>71.428571428571431</v>
      </c>
      <c r="H51" s="268"/>
      <c r="I51" s="246">
        <f>G51*CHOOSE('Исходные данные'!$O$2,1,'Исходные данные'!$F$5,'Исходные данные'!$I$5,'Исходные данные'!$K$5)</f>
        <v>71.428571428571431</v>
      </c>
      <c r="J51" s="246"/>
    </row>
    <row r="52" spans="1:26" ht="42" customHeight="1" x14ac:dyDescent="0.55000000000000004">
      <c r="A52" s="2"/>
      <c r="B52" s="204" t="s">
        <v>113</v>
      </c>
      <c r="C52" s="205"/>
      <c r="D52" s="255">
        <f>I52/'Детальный расчет'!$P$17</f>
        <v>0</v>
      </c>
      <c r="E52" s="255"/>
      <c r="G52" s="267">
        <f>CHOOSE($N$1,'Исходные данные'!D65,'Исходные данные'!H65)</f>
        <v>0</v>
      </c>
      <c r="H52" s="268"/>
      <c r="I52" s="246">
        <f>G52*CHOOSE('Исходные данные'!$O$2,1,'Исходные данные'!$F$5,'Исходные данные'!$I$5,'Исходные данные'!$K$5)</f>
        <v>0</v>
      </c>
      <c r="J52" s="246"/>
    </row>
    <row r="53" spans="1:26" ht="42" customHeight="1" x14ac:dyDescent="0.55000000000000004">
      <c r="A53" s="2"/>
      <c r="B53" s="204" t="s">
        <v>83</v>
      </c>
      <c r="C53" s="205"/>
      <c r="D53" s="282">
        <f>CHOOSE($N$1,'Исходные данные'!D66,'Исходные данные'!H66)</f>
        <v>0</v>
      </c>
      <c r="E53" s="283"/>
      <c r="F53" s="161" t="s">
        <v>75</v>
      </c>
      <c r="G53" s="267">
        <f>I53/CHOOSE('Исходные данные'!$O$2,1,'Исходные данные'!$F$5,'Исходные данные'!$I$5,'Исходные данные'!$K$5)</f>
        <v>0</v>
      </c>
      <c r="H53" s="268"/>
      <c r="I53" s="246">
        <f>'Детальный расчет'!P57</f>
        <v>0</v>
      </c>
      <c r="J53" s="246"/>
    </row>
    <row r="54" spans="1:26" ht="42" customHeight="1" x14ac:dyDescent="0.55000000000000004">
      <c r="A54" s="2"/>
      <c r="B54" s="204" t="s">
        <v>2</v>
      </c>
      <c r="C54" s="205"/>
      <c r="D54" s="255">
        <f>I54/'Детальный расчет'!$P$17</f>
        <v>0</v>
      </c>
      <c r="E54" s="255"/>
      <c r="G54" s="267">
        <f>CHOOSE($N$1,'Исходные данные'!D67,'Исходные данные'!H67)</f>
        <v>0</v>
      </c>
      <c r="H54" s="268"/>
      <c r="I54" s="246">
        <f>G54*CHOOSE('Исходные данные'!$O$2,1,'Исходные данные'!$F$5,'Исходные данные'!$I$5,'Исходные данные'!$K$5)</f>
        <v>0</v>
      </c>
      <c r="J54" s="246"/>
    </row>
    <row r="55" spans="1:26" ht="34.200000000000003" customHeight="1" x14ac:dyDescent="0.55000000000000004">
      <c r="A55" s="2"/>
      <c r="B55" s="269" t="s">
        <v>3</v>
      </c>
      <c r="C55" s="269"/>
      <c r="D55" s="270">
        <f>SUM(D40:E54)</f>
        <v>0.64010204081632638</v>
      </c>
      <c r="E55" s="270"/>
      <c r="G55" s="271">
        <f>SUM(G40:H54)-G50+G50/2</f>
        <v>4480.7142857142853</v>
      </c>
      <c r="H55" s="271"/>
      <c r="I55" s="271">
        <f>SUM(I40:J54)-I50+I50/2</f>
        <v>4480.7142857142853</v>
      </c>
      <c r="J55" s="271"/>
    </row>
    <row r="56" spans="1:26" ht="42" customHeight="1" x14ac:dyDescent="0.6">
      <c r="A56" s="209" t="s">
        <v>130</v>
      </c>
      <c r="B56" s="209"/>
      <c r="C56" s="209"/>
      <c r="D56" s="209"/>
      <c r="E56" s="209"/>
      <c r="F56" s="209"/>
      <c r="G56" s="209"/>
      <c r="H56" s="209"/>
      <c r="I56" s="209"/>
      <c r="J56" s="209"/>
      <c r="K56" s="88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ht="35.700000000000003" customHeight="1" x14ac:dyDescent="0.7">
      <c r="A57" s="2"/>
      <c r="B57" s="2"/>
      <c r="C57" s="2"/>
      <c r="D57" s="280" t="s">
        <v>93</v>
      </c>
      <c r="E57" s="280"/>
      <c r="F57" s="280"/>
      <c r="G57" s="272" t="str">
        <f>"В валюте, в которой производиться расчет, "&amp;CHOOSE('Исходные данные'!$O$2,'Исходные данные'!$P$2,'Исходные данные'!$P$3,'Исходные данные'!$P$4,'Исходные данные'!$P$5)&amp;"/мес."</f>
        <v>В валюте, в которой производиться расчет, USD/мес.</v>
      </c>
      <c r="H57" s="272"/>
      <c r="I57" s="272"/>
      <c r="J57" s="2"/>
    </row>
    <row r="58" spans="1:26" ht="45" customHeight="1" x14ac:dyDescent="0.55000000000000004">
      <c r="A58" s="262" t="s">
        <v>61</v>
      </c>
      <c r="B58" s="262"/>
      <c r="C58" s="263"/>
      <c r="D58" s="264">
        <f>G58/CHOOSE('Исходные данные'!$O$2,1,'Исходные данные'!$F$5,'Исходные данные'!$I$5,'Исходные данные'!$K$5)</f>
        <v>2519.2857142857133</v>
      </c>
      <c r="E58" s="264"/>
      <c r="F58" s="264"/>
      <c r="G58" s="273">
        <f>'Детальный расчет'!P69</f>
        <v>2519.2857142857133</v>
      </c>
      <c r="H58" s="274"/>
      <c r="I58" s="275"/>
      <c r="J58" s="152"/>
    </row>
    <row r="59" spans="1:26" ht="8.0500000000000007" customHeight="1" x14ac:dyDescent="0.55000000000000004">
      <c r="A59" s="2"/>
      <c r="B59" s="2"/>
      <c r="C59" s="2"/>
      <c r="D59" s="281"/>
      <c r="E59" s="281"/>
      <c r="F59" s="281"/>
      <c r="G59" s="276"/>
      <c r="H59" s="276"/>
      <c r="I59" s="276"/>
      <c r="J59" s="153"/>
    </row>
    <row r="60" spans="1:26" ht="45" customHeight="1" x14ac:dyDescent="0.55000000000000004">
      <c r="A60" s="262" t="s">
        <v>62</v>
      </c>
      <c r="B60" s="262"/>
      <c r="C60" s="263"/>
      <c r="D60" s="264">
        <f>G60/CHOOSE('Исходные данные'!$O$2,1,'Исходные данные'!$F$5,'Исходные данные'!$I$5,'Исходные данные'!$K$5)</f>
        <v>4501.1904761904761</v>
      </c>
      <c r="E60" s="264"/>
      <c r="F60" s="264"/>
      <c r="G60" s="273">
        <f>'Детальный расчет'!AD69</f>
        <v>4501.1904761904761</v>
      </c>
      <c r="H60" s="274"/>
      <c r="I60" s="275"/>
      <c r="J60" s="152"/>
    </row>
    <row r="61" spans="1:26" ht="8.0500000000000007" customHeight="1" x14ac:dyDescent="0.55000000000000004">
      <c r="A61" s="2"/>
      <c r="B61" s="2"/>
      <c r="C61" s="2"/>
      <c r="D61" s="281"/>
      <c r="E61" s="281"/>
      <c r="F61" s="281"/>
      <c r="G61" s="276"/>
      <c r="H61" s="276"/>
      <c r="I61" s="276"/>
      <c r="J61" s="153"/>
    </row>
    <row r="62" spans="1:26" ht="45" customHeight="1" x14ac:dyDescent="0.55000000000000004">
      <c r="A62" s="262" t="s">
        <v>63</v>
      </c>
      <c r="B62" s="262"/>
      <c r="C62" s="263"/>
      <c r="D62" s="264">
        <f>G62/CHOOSE('Исходные данные'!$O$2,1,'Исходные данные'!$F$5,'Исходные данные'!$I$5,'Исходные данные'!$K$5)</f>
        <v>7007.6190476190486</v>
      </c>
      <c r="E62" s="264"/>
      <c r="F62" s="264"/>
      <c r="G62" s="277">
        <f>'Детальный расчет'!AR69</f>
        <v>7007.6190476190486</v>
      </c>
      <c r="H62" s="278"/>
      <c r="I62" s="279"/>
      <c r="J62" s="152"/>
    </row>
    <row r="63" spans="1:26" ht="8.0500000000000007" customHeight="1" x14ac:dyDescent="0.55000000000000004">
      <c r="A63" s="2"/>
      <c r="B63" s="2"/>
      <c r="C63" s="2"/>
      <c r="D63" s="2"/>
      <c r="E63" s="2"/>
      <c r="F63" s="2"/>
      <c r="H63" s="7"/>
      <c r="I63" s="7"/>
      <c r="J63" s="7"/>
    </row>
    <row r="64" spans="1:26" ht="45" customHeight="1" x14ac:dyDescent="0.55000000000000004">
      <c r="A64" s="265" t="s">
        <v>49</v>
      </c>
      <c r="B64" s="265"/>
      <c r="C64" s="266"/>
      <c r="D64" s="264">
        <f>'Детальный расчет'!B93</f>
        <v>2</v>
      </c>
      <c r="E64" s="264"/>
      <c r="F64" s="264"/>
      <c r="G64" s="264"/>
      <c r="H64" s="264"/>
      <c r="I64" s="264"/>
      <c r="J64" s="3" t="s">
        <v>4</v>
      </c>
    </row>
    <row r="65" spans="1:10" ht="8.0500000000000007" customHeight="1" x14ac:dyDescent="0.55000000000000004">
      <c r="A65" s="2"/>
      <c r="B65" s="2"/>
      <c r="C65" s="2"/>
      <c r="D65" s="2"/>
      <c r="E65" s="2"/>
      <c r="F65" s="2"/>
      <c r="H65" s="7"/>
      <c r="I65" s="7"/>
      <c r="J65" s="7"/>
    </row>
    <row r="66" spans="1:10" ht="45" customHeight="1" x14ac:dyDescent="0.55000000000000004">
      <c r="A66" s="262" t="s">
        <v>76</v>
      </c>
      <c r="B66" s="262"/>
      <c r="C66" s="263"/>
      <c r="D66" s="264">
        <f>'Детальный расчет'!B92</f>
        <v>12</v>
      </c>
      <c r="E66" s="264"/>
      <c r="F66" s="264"/>
      <c r="G66" s="264"/>
      <c r="H66" s="264"/>
      <c r="I66" s="264"/>
      <c r="J66" s="3" t="s">
        <v>4</v>
      </c>
    </row>
    <row r="67" spans="1:10" ht="8.0500000000000007" customHeight="1" x14ac:dyDescent="0.55000000000000004">
      <c r="A67" s="5"/>
      <c r="B67" s="5"/>
      <c r="C67" s="5"/>
      <c r="D67" s="5"/>
      <c r="E67" s="5"/>
      <c r="F67" s="5"/>
      <c r="G67" s="6"/>
      <c r="H67" s="6"/>
      <c r="I67" s="6"/>
      <c r="J67" s="5"/>
    </row>
  </sheetData>
  <sheetProtection formatCells="0" formatColumns="0" formatRows="0" insertColumns="0" insertRows="0" insertHyperlinks="0" deleteColumns="0" deleteRows="0" sort="0" autoFilter="0" pivotTables="0"/>
  <mergeCells count="168">
    <mergeCell ref="A4:C4"/>
    <mergeCell ref="F4:H4"/>
    <mergeCell ref="D15:F15"/>
    <mergeCell ref="A1:J1"/>
    <mergeCell ref="A2:D2"/>
    <mergeCell ref="F2:H2"/>
    <mergeCell ref="G15:J15"/>
    <mergeCell ref="A13:J13"/>
    <mergeCell ref="A7:C8"/>
    <mergeCell ref="A9:C9"/>
    <mergeCell ref="A10:C10"/>
    <mergeCell ref="A11:C11"/>
    <mergeCell ref="A12:C12"/>
    <mergeCell ref="D7:F7"/>
    <mergeCell ref="D8:E8"/>
    <mergeCell ref="D9:E9"/>
    <mergeCell ref="I7:J7"/>
    <mergeCell ref="G7:H7"/>
    <mergeCell ref="D10:E10"/>
    <mergeCell ref="D11:E11"/>
    <mergeCell ref="D12:E12"/>
    <mergeCell ref="B21:C21"/>
    <mergeCell ref="D21:F21"/>
    <mergeCell ref="G21:J21"/>
    <mergeCell ref="B16:C16"/>
    <mergeCell ref="D16:F16"/>
    <mergeCell ref="B17:C17"/>
    <mergeCell ref="D17:F17"/>
    <mergeCell ref="B22:C22"/>
    <mergeCell ref="D22:F22"/>
    <mergeCell ref="G16:J16"/>
    <mergeCell ref="G17:J17"/>
    <mergeCell ref="B19:C19"/>
    <mergeCell ref="D19:F19"/>
    <mergeCell ref="G19:J19"/>
    <mergeCell ref="B20:C20"/>
    <mergeCell ref="D20:F20"/>
    <mergeCell ref="G20:J20"/>
    <mergeCell ref="B18:C18"/>
    <mergeCell ref="D18:F18"/>
    <mergeCell ref="G18:J18"/>
    <mergeCell ref="B25:C25"/>
    <mergeCell ref="D25:F25"/>
    <mergeCell ref="B26:C26"/>
    <mergeCell ref="D26:F26"/>
    <mergeCell ref="G22:J22"/>
    <mergeCell ref="G25:J25"/>
    <mergeCell ref="G26:J26"/>
    <mergeCell ref="B27:C27"/>
    <mergeCell ref="D27:F27"/>
    <mergeCell ref="B24:C24"/>
    <mergeCell ref="D24:F24"/>
    <mergeCell ref="G24:J24"/>
    <mergeCell ref="B23:C23"/>
    <mergeCell ref="D23:F23"/>
    <mergeCell ref="G23:J23"/>
    <mergeCell ref="B28:C28"/>
    <mergeCell ref="D28:F28"/>
    <mergeCell ref="G27:J27"/>
    <mergeCell ref="G28:J28"/>
    <mergeCell ref="A31:C32"/>
    <mergeCell ref="D31:D32"/>
    <mergeCell ref="A35:C35"/>
    <mergeCell ref="A36:C36"/>
    <mergeCell ref="H35:I35"/>
    <mergeCell ref="H36:I36"/>
    <mergeCell ref="F35:G35"/>
    <mergeCell ref="A29:J29"/>
    <mergeCell ref="F36:G36"/>
    <mergeCell ref="H31:I32"/>
    <mergeCell ref="J31:J32"/>
    <mergeCell ref="A33:C33"/>
    <mergeCell ref="A34:C34"/>
    <mergeCell ref="H33:I33"/>
    <mergeCell ref="H34:I34"/>
    <mergeCell ref="E31:G31"/>
    <mergeCell ref="F32:G32"/>
    <mergeCell ref="F33:G33"/>
    <mergeCell ref="F34:G34"/>
    <mergeCell ref="A37:J37"/>
    <mergeCell ref="D38:E39"/>
    <mergeCell ref="G38:J38"/>
    <mergeCell ref="G39:H39"/>
    <mergeCell ref="I39:J39"/>
    <mergeCell ref="B40:C40"/>
    <mergeCell ref="D40:E40"/>
    <mergeCell ref="G40:H40"/>
    <mergeCell ref="I40:J40"/>
    <mergeCell ref="B41:C41"/>
    <mergeCell ref="D41:E41"/>
    <mergeCell ref="G41:H41"/>
    <mergeCell ref="I41:J41"/>
    <mergeCell ref="B42:C42"/>
    <mergeCell ref="D42:E42"/>
    <mergeCell ref="G42:H42"/>
    <mergeCell ref="I42:J42"/>
    <mergeCell ref="B43:C43"/>
    <mergeCell ref="D43:E43"/>
    <mergeCell ref="G43:H43"/>
    <mergeCell ref="I43:J43"/>
    <mergeCell ref="B44:C44"/>
    <mergeCell ref="D44:E44"/>
    <mergeCell ref="G44:H44"/>
    <mergeCell ref="I44:J44"/>
    <mergeCell ref="B45:C45"/>
    <mergeCell ref="D45:E45"/>
    <mergeCell ref="G45:H45"/>
    <mergeCell ref="I45:J45"/>
    <mergeCell ref="B46:C46"/>
    <mergeCell ref="D46:E46"/>
    <mergeCell ref="G46:H46"/>
    <mergeCell ref="I46:J46"/>
    <mergeCell ref="B47:C47"/>
    <mergeCell ref="D47:E47"/>
    <mergeCell ref="G47:H47"/>
    <mergeCell ref="I47:J47"/>
    <mergeCell ref="B48:C48"/>
    <mergeCell ref="D48:E48"/>
    <mergeCell ref="G48:H48"/>
    <mergeCell ref="I48:J48"/>
    <mergeCell ref="B51:C51"/>
    <mergeCell ref="D51:E51"/>
    <mergeCell ref="G51:H51"/>
    <mergeCell ref="I51:J51"/>
    <mergeCell ref="B49:C49"/>
    <mergeCell ref="D49:E49"/>
    <mergeCell ref="G49:H49"/>
    <mergeCell ref="I49:J49"/>
    <mergeCell ref="D59:F59"/>
    <mergeCell ref="D60:F60"/>
    <mergeCell ref="D61:F61"/>
    <mergeCell ref="D62:F62"/>
    <mergeCell ref="B53:C53"/>
    <mergeCell ref="D53:E53"/>
    <mergeCell ref="G53:H53"/>
    <mergeCell ref="I53:J53"/>
    <mergeCell ref="B50:C50"/>
    <mergeCell ref="D50:E50"/>
    <mergeCell ref="G50:H50"/>
    <mergeCell ref="I50:J50"/>
    <mergeCell ref="B52:C52"/>
    <mergeCell ref="D52:E52"/>
    <mergeCell ref="G52:H52"/>
    <mergeCell ref="I52:J52"/>
    <mergeCell ref="A66:C66"/>
    <mergeCell ref="D66:I66"/>
    <mergeCell ref="A62:C62"/>
    <mergeCell ref="A64:C64"/>
    <mergeCell ref="D64:I64"/>
    <mergeCell ref="G54:H54"/>
    <mergeCell ref="B54:C54"/>
    <mergeCell ref="D54:E54"/>
    <mergeCell ref="I54:J54"/>
    <mergeCell ref="B55:C55"/>
    <mergeCell ref="D55:E55"/>
    <mergeCell ref="G55:H55"/>
    <mergeCell ref="I55:J55"/>
    <mergeCell ref="A56:J56"/>
    <mergeCell ref="A58:C58"/>
    <mergeCell ref="A60:C60"/>
    <mergeCell ref="G57:I57"/>
    <mergeCell ref="G58:I58"/>
    <mergeCell ref="G59:I59"/>
    <mergeCell ref="G60:I60"/>
    <mergeCell ref="G61:I61"/>
    <mergeCell ref="G62:I62"/>
    <mergeCell ref="D57:F57"/>
    <mergeCell ref="D58:F5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44" orientation="portrait" r:id="rId1"/>
  <rowBreaks count="1" manualBreakCount="1">
    <brk id="37" max="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1">
              <controlPr locked="0" defaultSize="0" autoLine="0" autoPict="0">
                <anchor moveWithCells="1">
                  <from>
                    <xdr:col>2</xdr:col>
                    <xdr:colOff>331470</xdr:colOff>
                    <xdr:row>3</xdr:row>
                    <xdr:rowOff>106680</xdr:rowOff>
                  </from>
                  <to>
                    <xdr:col>3</xdr:col>
                    <xdr:colOff>800100</xdr:colOff>
                    <xdr:row>3</xdr:row>
                    <xdr:rowOff>392430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AT111"/>
  <sheetViews>
    <sheetView zoomScale="90" zoomScaleNormal="90" zoomScaleSheetLayoutView="70" workbookViewId="0">
      <pane xSplit="2" ySplit="13" topLeftCell="C14" activePane="bottomRight" state="frozen"/>
      <selection pane="topRight" activeCell="C1" sqref="C1"/>
      <selection pane="bottomLeft" activeCell="A17" sqref="A17"/>
      <selection pane="bottomRight" activeCell="C7" sqref="C7"/>
    </sheetView>
  </sheetViews>
  <sheetFormatPr defaultRowHeight="12.3" outlineLevelRow="1" outlineLevelCol="1" x14ac:dyDescent="0.4"/>
  <cols>
    <col min="1" max="1" width="60" style="13" customWidth="1"/>
    <col min="2" max="2" width="12.578125" style="13" customWidth="1"/>
    <col min="3" max="14" width="11" style="12" customWidth="1" outlineLevel="1"/>
    <col min="15" max="15" width="11" style="109" customWidth="1"/>
    <col min="16" max="16" width="13.83984375" style="109" customWidth="1"/>
    <col min="17" max="28" width="11" style="12" customWidth="1" outlineLevel="1"/>
    <col min="29" max="29" width="11" style="109" customWidth="1"/>
    <col min="30" max="30" width="14.26171875" style="109" customWidth="1"/>
    <col min="31" max="42" width="11" style="12" customWidth="1" outlineLevel="1"/>
    <col min="43" max="43" width="11" style="109" customWidth="1"/>
    <col min="44" max="44" width="14.26171875" style="109" customWidth="1"/>
    <col min="45" max="45" width="12.83984375" style="12" customWidth="1"/>
    <col min="46" max="46" width="10" style="12" bestFit="1" customWidth="1"/>
    <col min="47" max="285" width="9.15625" style="12"/>
    <col min="286" max="286" width="53" style="12" customWidth="1"/>
    <col min="287" max="287" width="14.41796875" style="12" customWidth="1"/>
    <col min="288" max="300" width="11" style="12" customWidth="1"/>
    <col min="301" max="301" width="12.83984375" style="12" customWidth="1"/>
    <col min="302" max="302" width="10" style="12" bestFit="1" customWidth="1"/>
    <col min="303" max="541" width="9.15625" style="12"/>
    <col min="542" max="542" width="53" style="12" customWidth="1"/>
    <col min="543" max="543" width="14.41796875" style="12" customWidth="1"/>
    <col min="544" max="556" width="11" style="12" customWidth="1"/>
    <col min="557" max="557" width="12.83984375" style="12" customWidth="1"/>
    <col min="558" max="558" width="10" style="12" bestFit="1" customWidth="1"/>
    <col min="559" max="797" width="9.15625" style="12"/>
    <col min="798" max="798" width="53" style="12" customWidth="1"/>
    <col min="799" max="799" width="14.41796875" style="12" customWidth="1"/>
    <col min="800" max="812" width="11" style="12" customWidth="1"/>
    <col min="813" max="813" width="12.83984375" style="12" customWidth="1"/>
    <col min="814" max="814" width="10" style="12" bestFit="1" customWidth="1"/>
    <col min="815" max="1053" width="9.15625" style="12"/>
    <col min="1054" max="1054" width="53" style="12" customWidth="1"/>
    <col min="1055" max="1055" width="14.41796875" style="12" customWidth="1"/>
    <col min="1056" max="1068" width="11" style="12" customWidth="1"/>
    <col min="1069" max="1069" width="12.83984375" style="12" customWidth="1"/>
    <col min="1070" max="1070" width="10" style="12" bestFit="1" customWidth="1"/>
    <col min="1071" max="1309" width="9.15625" style="12"/>
    <col min="1310" max="1310" width="53" style="12" customWidth="1"/>
    <col min="1311" max="1311" width="14.41796875" style="12" customWidth="1"/>
    <col min="1312" max="1324" width="11" style="12" customWidth="1"/>
    <col min="1325" max="1325" width="12.83984375" style="12" customWidth="1"/>
    <col min="1326" max="1326" width="10" style="12" bestFit="1" customWidth="1"/>
    <col min="1327" max="1565" width="9.15625" style="12"/>
    <col min="1566" max="1566" width="53" style="12" customWidth="1"/>
    <col min="1567" max="1567" width="14.41796875" style="12" customWidth="1"/>
    <col min="1568" max="1580" width="11" style="12" customWidth="1"/>
    <col min="1581" max="1581" width="12.83984375" style="12" customWidth="1"/>
    <col min="1582" max="1582" width="10" style="12" bestFit="1" customWidth="1"/>
    <col min="1583" max="1821" width="9.15625" style="12"/>
    <col min="1822" max="1822" width="53" style="12" customWidth="1"/>
    <col min="1823" max="1823" width="14.41796875" style="12" customWidth="1"/>
    <col min="1824" max="1836" width="11" style="12" customWidth="1"/>
    <col min="1837" max="1837" width="12.83984375" style="12" customWidth="1"/>
    <col min="1838" max="1838" width="10" style="12" bestFit="1" customWidth="1"/>
    <col min="1839" max="2077" width="9.15625" style="12"/>
    <col min="2078" max="2078" width="53" style="12" customWidth="1"/>
    <col min="2079" max="2079" width="14.41796875" style="12" customWidth="1"/>
    <col min="2080" max="2092" width="11" style="12" customWidth="1"/>
    <col min="2093" max="2093" width="12.83984375" style="12" customWidth="1"/>
    <col min="2094" max="2094" width="10" style="12" bestFit="1" customWidth="1"/>
    <col min="2095" max="2333" width="9.15625" style="12"/>
    <col min="2334" max="2334" width="53" style="12" customWidth="1"/>
    <col min="2335" max="2335" width="14.41796875" style="12" customWidth="1"/>
    <col min="2336" max="2348" width="11" style="12" customWidth="1"/>
    <col min="2349" max="2349" width="12.83984375" style="12" customWidth="1"/>
    <col min="2350" max="2350" width="10" style="12" bestFit="1" customWidth="1"/>
    <col min="2351" max="2589" width="9.15625" style="12"/>
    <col min="2590" max="2590" width="53" style="12" customWidth="1"/>
    <col min="2591" max="2591" width="14.41796875" style="12" customWidth="1"/>
    <col min="2592" max="2604" width="11" style="12" customWidth="1"/>
    <col min="2605" max="2605" width="12.83984375" style="12" customWidth="1"/>
    <col min="2606" max="2606" width="10" style="12" bestFit="1" customWidth="1"/>
    <col min="2607" max="2845" width="9.15625" style="12"/>
    <col min="2846" max="2846" width="53" style="12" customWidth="1"/>
    <col min="2847" max="2847" width="14.41796875" style="12" customWidth="1"/>
    <col min="2848" max="2860" width="11" style="12" customWidth="1"/>
    <col min="2861" max="2861" width="12.83984375" style="12" customWidth="1"/>
    <col min="2862" max="2862" width="10" style="12" bestFit="1" customWidth="1"/>
    <col min="2863" max="3101" width="9.15625" style="12"/>
    <col min="3102" max="3102" width="53" style="12" customWidth="1"/>
    <col min="3103" max="3103" width="14.41796875" style="12" customWidth="1"/>
    <col min="3104" max="3116" width="11" style="12" customWidth="1"/>
    <col min="3117" max="3117" width="12.83984375" style="12" customWidth="1"/>
    <col min="3118" max="3118" width="10" style="12" bestFit="1" customWidth="1"/>
    <col min="3119" max="3357" width="9.15625" style="12"/>
    <col min="3358" max="3358" width="53" style="12" customWidth="1"/>
    <col min="3359" max="3359" width="14.41796875" style="12" customWidth="1"/>
    <col min="3360" max="3372" width="11" style="12" customWidth="1"/>
    <col min="3373" max="3373" width="12.83984375" style="12" customWidth="1"/>
    <col min="3374" max="3374" width="10" style="12" bestFit="1" customWidth="1"/>
    <col min="3375" max="3613" width="9.15625" style="12"/>
    <col min="3614" max="3614" width="53" style="12" customWidth="1"/>
    <col min="3615" max="3615" width="14.41796875" style="12" customWidth="1"/>
    <col min="3616" max="3628" width="11" style="12" customWidth="1"/>
    <col min="3629" max="3629" width="12.83984375" style="12" customWidth="1"/>
    <col min="3630" max="3630" width="10" style="12" bestFit="1" customWidth="1"/>
    <col min="3631" max="3869" width="9.15625" style="12"/>
    <col min="3870" max="3870" width="53" style="12" customWidth="1"/>
    <col min="3871" max="3871" width="14.41796875" style="12" customWidth="1"/>
    <col min="3872" max="3884" width="11" style="12" customWidth="1"/>
    <col min="3885" max="3885" width="12.83984375" style="12" customWidth="1"/>
    <col min="3886" max="3886" width="10" style="12" bestFit="1" customWidth="1"/>
    <col min="3887" max="4125" width="9.15625" style="12"/>
    <col min="4126" max="4126" width="53" style="12" customWidth="1"/>
    <col min="4127" max="4127" width="14.41796875" style="12" customWidth="1"/>
    <col min="4128" max="4140" width="11" style="12" customWidth="1"/>
    <col min="4141" max="4141" width="12.83984375" style="12" customWidth="1"/>
    <col min="4142" max="4142" width="10" style="12" bestFit="1" customWidth="1"/>
    <col min="4143" max="4381" width="9.15625" style="12"/>
    <col min="4382" max="4382" width="53" style="12" customWidth="1"/>
    <col min="4383" max="4383" width="14.41796875" style="12" customWidth="1"/>
    <col min="4384" max="4396" width="11" style="12" customWidth="1"/>
    <col min="4397" max="4397" width="12.83984375" style="12" customWidth="1"/>
    <col min="4398" max="4398" width="10" style="12" bestFit="1" customWidth="1"/>
    <col min="4399" max="4637" width="9.15625" style="12"/>
    <col min="4638" max="4638" width="53" style="12" customWidth="1"/>
    <col min="4639" max="4639" width="14.41796875" style="12" customWidth="1"/>
    <col min="4640" max="4652" width="11" style="12" customWidth="1"/>
    <col min="4653" max="4653" width="12.83984375" style="12" customWidth="1"/>
    <col min="4654" max="4654" width="10" style="12" bestFit="1" customWidth="1"/>
    <col min="4655" max="4893" width="9.15625" style="12"/>
    <col min="4894" max="4894" width="53" style="12" customWidth="1"/>
    <col min="4895" max="4895" width="14.41796875" style="12" customWidth="1"/>
    <col min="4896" max="4908" width="11" style="12" customWidth="1"/>
    <col min="4909" max="4909" width="12.83984375" style="12" customWidth="1"/>
    <col min="4910" max="4910" width="10" style="12" bestFit="1" customWidth="1"/>
    <col min="4911" max="5149" width="9.15625" style="12"/>
    <col min="5150" max="5150" width="53" style="12" customWidth="1"/>
    <col min="5151" max="5151" width="14.41796875" style="12" customWidth="1"/>
    <col min="5152" max="5164" width="11" style="12" customWidth="1"/>
    <col min="5165" max="5165" width="12.83984375" style="12" customWidth="1"/>
    <col min="5166" max="5166" width="10" style="12" bestFit="1" customWidth="1"/>
    <col min="5167" max="5405" width="9.15625" style="12"/>
    <col min="5406" max="5406" width="53" style="12" customWidth="1"/>
    <col min="5407" max="5407" width="14.41796875" style="12" customWidth="1"/>
    <col min="5408" max="5420" width="11" style="12" customWidth="1"/>
    <col min="5421" max="5421" width="12.83984375" style="12" customWidth="1"/>
    <col min="5422" max="5422" width="10" style="12" bestFit="1" customWidth="1"/>
    <col min="5423" max="5661" width="9.15625" style="12"/>
    <col min="5662" max="5662" width="53" style="12" customWidth="1"/>
    <col min="5663" max="5663" width="14.41796875" style="12" customWidth="1"/>
    <col min="5664" max="5676" width="11" style="12" customWidth="1"/>
    <col min="5677" max="5677" width="12.83984375" style="12" customWidth="1"/>
    <col min="5678" max="5678" width="10" style="12" bestFit="1" customWidth="1"/>
    <col min="5679" max="5917" width="9.15625" style="12"/>
    <col min="5918" max="5918" width="53" style="12" customWidth="1"/>
    <col min="5919" max="5919" width="14.41796875" style="12" customWidth="1"/>
    <col min="5920" max="5932" width="11" style="12" customWidth="1"/>
    <col min="5933" max="5933" width="12.83984375" style="12" customWidth="1"/>
    <col min="5934" max="5934" width="10" style="12" bestFit="1" customWidth="1"/>
    <col min="5935" max="6173" width="9.15625" style="12"/>
    <col min="6174" max="6174" width="53" style="12" customWidth="1"/>
    <col min="6175" max="6175" width="14.41796875" style="12" customWidth="1"/>
    <col min="6176" max="6188" width="11" style="12" customWidth="1"/>
    <col min="6189" max="6189" width="12.83984375" style="12" customWidth="1"/>
    <col min="6190" max="6190" width="10" style="12" bestFit="1" customWidth="1"/>
    <col min="6191" max="6429" width="9.15625" style="12"/>
    <col min="6430" max="6430" width="53" style="12" customWidth="1"/>
    <col min="6431" max="6431" width="14.41796875" style="12" customWidth="1"/>
    <col min="6432" max="6444" width="11" style="12" customWidth="1"/>
    <col min="6445" max="6445" width="12.83984375" style="12" customWidth="1"/>
    <col min="6446" max="6446" width="10" style="12" bestFit="1" customWidth="1"/>
    <col min="6447" max="6685" width="9.15625" style="12"/>
    <col min="6686" max="6686" width="53" style="12" customWidth="1"/>
    <col min="6687" max="6687" width="14.41796875" style="12" customWidth="1"/>
    <col min="6688" max="6700" width="11" style="12" customWidth="1"/>
    <col min="6701" max="6701" width="12.83984375" style="12" customWidth="1"/>
    <col min="6702" max="6702" width="10" style="12" bestFit="1" customWidth="1"/>
    <col min="6703" max="6941" width="9.15625" style="12"/>
    <col min="6942" max="6942" width="53" style="12" customWidth="1"/>
    <col min="6943" max="6943" width="14.41796875" style="12" customWidth="1"/>
    <col min="6944" max="6956" width="11" style="12" customWidth="1"/>
    <col min="6957" max="6957" width="12.83984375" style="12" customWidth="1"/>
    <col min="6958" max="6958" width="10" style="12" bestFit="1" customWidth="1"/>
    <col min="6959" max="7197" width="9.15625" style="12"/>
    <col min="7198" max="7198" width="53" style="12" customWidth="1"/>
    <col min="7199" max="7199" width="14.41796875" style="12" customWidth="1"/>
    <col min="7200" max="7212" width="11" style="12" customWidth="1"/>
    <col min="7213" max="7213" width="12.83984375" style="12" customWidth="1"/>
    <col min="7214" max="7214" width="10" style="12" bestFit="1" customWidth="1"/>
    <col min="7215" max="7453" width="9.15625" style="12"/>
    <col min="7454" max="7454" width="53" style="12" customWidth="1"/>
    <col min="7455" max="7455" width="14.41796875" style="12" customWidth="1"/>
    <col min="7456" max="7468" width="11" style="12" customWidth="1"/>
    <col min="7469" max="7469" width="12.83984375" style="12" customWidth="1"/>
    <col min="7470" max="7470" width="10" style="12" bestFit="1" customWidth="1"/>
    <col min="7471" max="7709" width="9.15625" style="12"/>
    <col min="7710" max="7710" width="53" style="12" customWidth="1"/>
    <col min="7711" max="7711" width="14.41796875" style="12" customWidth="1"/>
    <col min="7712" max="7724" width="11" style="12" customWidth="1"/>
    <col min="7725" max="7725" width="12.83984375" style="12" customWidth="1"/>
    <col min="7726" max="7726" width="10" style="12" bestFit="1" customWidth="1"/>
    <col min="7727" max="7965" width="9.15625" style="12"/>
    <col min="7966" max="7966" width="53" style="12" customWidth="1"/>
    <col min="7967" max="7967" width="14.41796875" style="12" customWidth="1"/>
    <col min="7968" max="7980" width="11" style="12" customWidth="1"/>
    <col min="7981" max="7981" width="12.83984375" style="12" customWidth="1"/>
    <col min="7982" max="7982" width="10" style="12" bestFit="1" customWidth="1"/>
    <col min="7983" max="8221" width="9.15625" style="12"/>
    <col min="8222" max="8222" width="53" style="12" customWidth="1"/>
    <col min="8223" max="8223" width="14.41796875" style="12" customWidth="1"/>
    <col min="8224" max="8236" width="11" style="12" customWidth="1"/>
    <col min="8237" max="8237" width="12.83984375" style="12" customWidth="1"/>
    <col min="8238" max="8238" width="10" style="12" bestFit="1" customWidth="1"/>
    <col min="8239" max="8477" width="9.15625" style="12"/>
    <col min="8478" max="8478" width="53" style="12" customWidth="1"/>
    <col min="8479" max="8479" width="14.41796875" style="12" customWidth="1"/>
    <col min="8480" max="8492" width="11" style="12" customWidth="1"/>
    <col min="8493" max="8493" width="12.83984375" style="12" customWidth="1"/>
    <col min="8494" max="8494" width="10" style="12" bestFit="1" customWidth="1"/>
    <col min="8495" max="8733" width="9.15625" style="12"/>
    <col min="8734" max="8734" width="53" style="12" customWidth="1"/>
    <col min="8735" max="8735" width="14.41796875" style="12" customWidth="1"/>
    <col min="8736" max="8748" width="11" style="12" customWidth="1"/>
    <col min="8749" max="8749" width="12.83984375" style="12" customWidth="1"/>
    <col min="8750" max="8750" width="10" style="12" bestFit="1" customWidth="1"/>
    <col min="8751" max="8989" width="9.15625" style="12"/>
    <col min="8990" max="8990" width="53" style="12" customWidth="1"/>
    <col min="8991" max="8991" width="14.41796875" style="12" customWidth="1"/>
    <col min="8992" max="9004" width="11" style="12" customWidth="1"/>
    <col min="9005" max="9005" width="12.83984375" style="12" customWidth="1"/>
    <col min="9006" max="9006" width="10" style="12" bestFit="1" customWidth="1"/>
    <col min="9007" max="9245" width="9.15625" style="12"/>
    <col min="9246" max="9246" width="53" style="12" customWidth="1"/>
    <col min="9247" max="9247" width="14.41796875" style="12" customWidth="1"/>
    <col min="9248" max="9260" width="11" style="12" customWidth="1"/>
    <col min="9261" max="9261" width="12.83984375" style="12" customWidth="1"/>
    <col min="9262" max="9262" width="10" style="12" bestFit="1" customWidth="1"/>
    <col min="9263" max="9501" width="9.15625" style="12"/>
    <col min="9502" max="9502" width="53" style="12" customWidth="1"/>
    <col min="9503" max="9503" width="14.41796875" style="12" customWidth="1"/>
    <col min="9504" max="9516" width="11" style="12" customWidth="1"/>
    <col min="9517" max="9517" width="12.83984375" style="12" customWidth="1"/>
    <col min="9518" max="9518" width="10" style="12" bestFit="1" customWidth="1"/>
    <col min="9519" max="9757" width="9.15625" style="12"/>
    <col min="9758" max="9758" width="53" style="12" customWidth="1"/>
    <col min="9759" max="9759" width="14.41796875" style="12" customWidth="1"/>
    <col min="9760" max="9772" width="11" style="12" customWidth="1"/>
    <col min="9773" max="9773" width="12.83984375" style="12" customWidth="1"/>
    <col min="9774" max="9774" width="10" style="12" bestFit="1" customWidth="1"/>
    <col min="9775" max="10013" width="9.15625" style="12"/>
    <col min="10014" max="10014" width="53" style="12" customWidth="1"/>
    <col min="10015" max="10015" width="14.41796875" style="12" customWidth="1"/>
    <col min="10016" max="10028" width="11" style="12" customWidth="1"/>
    <col min="10029" max="10029" width="12.83984375" style="12" customWidth="1"/>
    <col min="10030" max="10030" width="10" style="12" bestFit="1" customWidth="1"/>
    <col min="10031" max="10269" width="9.15625" style="12"/>
    <col min="10270" max="10270" width="53" style="12" customWidth="1"/>
    <col min="10271" max="10271" width="14.41796875" style="12" customWidth="1"/>
    <col min="10272" max="10284" width="11" style="12" customWidth="1"/>
    <col min="10285" max="10285" width="12.83984375" style="12" customWidth="1"/>
    <col min="10286" max="10286" width="10" style="12" bestFit="1" customWidth="1"/>
    <col min="10287" max="10525" width="9.15625" style="12"/>
    <col min="10526" max="10526" width="53" style="12" customWidth="1"/>
    <col min="10527" max="10527" width="14.41796875" style="12" customWidth="1"/>
    <col min="10528" max="10540" width="11" style="12" customWidth="1"/>
    <col min="10541" max="10541" width="12.83984375" style="12" customWidth="1"/>
    <col min="10542" max="10542" width="10" style="12" bestFit="1" customWidth="1"/>
    <col min="10543" max="10781" width="9.15625" style="12"/>
    <col min="10782" max="10782" width="53" style="12" customWidth="1"/>
    <col min="10783" max="10783" width="14.41796875" style="12" customWidth="1"/>
    <col min="10784" max="10796" width="11" style="12" customWidth="1"/>
    <col min="10797" max="10797" width="12.83984375" style="12" customWidth="1"/>
    <col min="10798" max="10798" width="10" style="12" bestFit="1" customWidth="1"/>
    <col min="10799" max="11037" width="9.15625" style="12"/>
    <col min="11038" max="11038" width="53" style="12" customWidth="1"/>
    <col min="11039" max="11039" width="14.41796875" style="12" customWidth="1"/>
    <col min="11040" max="11052" width="11" style="12" customWidth="1"/>
    <col min="11053" max="11053" width="12.83984375" style="12" customWidth="1"/>
    <col min="11054" max="11054" width="10" style="12" bestFit="1" customWidth="1"/>
    <col min="11055" max="11293" width="9.15625" style="12"/>
    <col min="11294" max="11294" width="53" style="12" customWidth="1"/>
    <col min="11295" max="11295" width="14.41796875" style="12" customWidth="1"/>
    <col min="11296" max="11308" width="11" style="12" customWidth="1"/>
    <col min="11309" max="11309" width="12.83984375" style="12" customWidth="1"/>
    <col min="11310" max="11310" width="10" style="12" bestFit="1" customWidth="1"/>
    <col min="11311" max="11549" width="9.15625" style="12"/>
    <col min="11550" max="11550" width="53" style="12" customWidth="1"/>
    <col min="11551" max="11551" width="14.41796875" style="12" customWidth="1"/>
    <col min="11552" max="11564" width="11" style="12" customWidth="1"/>
    <col min="11565" max="11565" width="12.83984375" style="12" customWidth="1"/>
    <col min="11566" max="11566" width="10" style="12" bestFit="1" customWidth="1"/>
    <col min="11567" max="11805" width="9.15625" style="12"/>
    <col min="11806" max="11806" width="53" style="12" customWidth="1"/>
    <col min="11807" max="11807" width="14.41796875" style="12" customWidth="1"/>
    <col min="11808" max="11820" width="11" style="12" customWidth="1"/>
    <col min="11821" max="11821" width="12.83984375" style="12" customWidth="1"/>
    <col min="11822" max="11822" width="10" style="12" bestFit="1" customWidth="1"/>
    <col min="11823" max="12061" width="9.15625" style="12"/>
    <col min="12062" max="12062" width="53" style="12" customWidth="1"/>
    <col min="12063" max="12063" width="14.41796875" style="12" customWidth="1"/>
    <col min="12064" max="12076" width="11" style="12" customWidth="1"/>
    <col min="12077" max="12077" width="12.83984375" style="12" customWidth="1"/>
    <col min="12078" max="12078" width="10" style="12" bestFit="1" customWidth="1"/>
    <col min="12079" max="12317" width="9.15625" style="12"/>
    <col min="12318" max="12318" width="53" style="12" customWidth="1"/>
    <col min="12319" max="12319" width="14.41796875" style="12" customWidth="1"/>
    <col min="12320" max="12332" width="11" style="12" customWidth="1"/>
    <col min="12333" max="12333" width="12.83984375" style="12" customWidth="1"/>
    <col min="12334" max="12334" width="10" style="12" bestFit="1" customWidth="1"/>
    <col min="12335" max="12573" width="9.15625" style="12"/>
    <col min="12574" max="12574" width="53" style="12" customWidth="1"/>
    <col min="12575" max="12575" width="14.41796875" style="12" customWidth="1"/>
    <col min="12576" max="12588" width="11" style="12" customWidth="1"/>
    <col min="12589" max="12589" width="12.83984375" style="12" customWidth="1"/>
    <col min="12590" max="12590" width="10" style="12" bestFit="1" customWidth="1"/>
    <col min="12591" max="12829" width="9.15625" style="12"/>
    <col min="12830" max="12830" width="53" style="12" customWidth="1"/>
    <col min="12831" max="12831" width="14.41796875" style="12" customWidth="1"/>
    <col min="12832" max="12844" width="11" style="12" customWidth="1"/>
    <col min="12845" max="12845" width="12.83984375" style="12" customWidth="1"/>
    <col min="12846" max="12846" width="10" style="12" bestFit="1" customWidth="1"/>
    <col min="12847" max="13085" width="9.15625" style="12"/>
    <col min="13086" max="13086" width="53" style="12" customWidth="1"/>
    <col min="13087" max="13087" width="14.41796875" style="12" customWidth="1"/>
    <col min="13088" max="13100" width="11" style="12" customWidth="1"/>
    <col min="13101" max="13101" width="12.83984375" style="12" customWidth="1"/>
    <col min="13102" max="13102" width="10" style="12" bestFit="1" customWidth="1"/>
    <col min="13103" max="13341" width="9.15625" style="12"/>
    <col min="13342" max="13342" width="53" style="12" customWidth="1"/>
    <col min="13343" max="13343" width="14.41796875" style="12" customWidth="1"/>
    <col min="13344" max="13356" width="11" style="12" customWidth="1"/>
    <col min="13357" max="13357" width="12.83984375" style="12" customWidth="1"/>
    <col min="13358" max="13358" width="10" style="12" bestFit="1" customWidth="1"/>
    <col min="13359" max="13597" width="9.15625" style="12"/>
    <col min="13598" max="13598" width="53" style="12" customWidth="1"/>
    <col min="13599" max="13599" width="14.41796875" style="12" customWidth="1"/>
    <col min="13600" max="13612" width="11" style="12" customWidth="1"/>
    <col min="13613" max="13613" width="12.83984375" style="12" customWidth="1"/>
    <col min="13614" max="13614" width="10" style="12" bestFit="1" customWidth="1"/>
    <col min="13615" max="13853" width="9.15625" style="12"/>
    <col min="13854" max="13854" width="53" style="12" customWidth="1"/>
    <col min="13855" max="13855" width="14.41796875" style="12" customWidth="1"/>
    <col min="13856" max="13868" width="11" style="12" customWidth="1"/>
    <col min="13869" max="13869" width="12.83984375" style="12" customWidth="1"/>
    <col min="13870" max="13870" width="10" style="12" bestFit="1" customWidth="1"/>
    <col min="13871" max="14109" width="9.15625" style="12"/>
    <col min="14110" max="14110" width="53" style="12" customWidth="1"/>
    <col min="14111" max="14111" width="14.41796875" style="12" customWidth="1"/>
    <col min="14112" max="14124" width="11" style="12" customWidth="1"/>
    <col min="14125" max="14125" width="12.83984375" style="12" customWidth="1"/>
    <col min="14126" max="14126" width="10" style="12" bestFit="1" customWidth="1"/>
    <col min="14127" max="14365" width="9.15625" style="12"/>
    <col min="14366" max="14366" width="53" style="12" customWidth="1"/>
    <col min="14367" max="14367" width="14.41796875" style="12" customWidth="1"/>
    <col min="14368" max="14380" width="11" style="12" customWidth="1"/>
    <col min="14381" max="14381" width="12.83984375" style="12" customWidth="1"/>
    <col min="14382" max="14382" width="10" style="12" bestFit="1" customWidth="1"/>
    <col min="14383" max="14621" width="9.15625" style="12"/>
    <col min="14622" max="14622" width="53" style="12" customWidth="1"/>
    <col min="14623" max="14623" width="14.41796875" style="12" customWidth="1"/>
    <col min="14624" max="14636" width="11" style="12" customWidth="1"/>
    <col min="14637" max="14637" width="12.83984375" style="12" customWidth="1"/>
    <col min="14638" max="14638" width="10" style="12" bestFit="1" customWidth="1"/>
    <col min="14639" max="14877" width="9.15625" style="12"/>
    <col min="14878" max="14878" width="53" style="12" customWidth="1"/>
    <col min="14879" max="14879" width="14.41796875" style="12" customWidth="1"/>
    <col min="14880" max="14892" width="11" style="12" customWidth="1"/>
    <col min="14893" max="14893" width="12.83984375" style="12" customWidth="1"/>
    <col min="14894" max="14894" width="10" style="12" bestFit="1" customWidth="1"/>
    <col min="14895" max="15133" width="9.15625" style="12"/>
    <col min="15134" max="15134" width="53" style="12" customWidth="1"/>
    <col min="15135" max="15135" width="14.41796875" style="12" customWidth="1"/>
    <col min="15136" max="15148" width="11" style="12" customWidth="1"/>
    <col min="15149" max="15149" width="12.83984375" style="12" customWidth="1"/>
    <col min="15150" max="15150" width="10" style="12" bestFit="1" customWidth="1"/>
    <col min="15151" max="15389" width="9.15625" style="12"/>
    <col min="15390" max="15390" width="53" style="12" customWidth="1"/>
    <col min="15391" max="15391" width="14.41796875" style="12" customWidth="1"/>
    <col min="15392" max="15404" width="11" style="12" customWidth="1"/>
    <col min="15405" max="15405" width="12.83984375" style="12" customWidth="1"/>
    <col min="15406" max="15406" width="10" style="12" bestFit="1" customWidth="1"/>
    <col min="15407" max="15645" width="9.15625" style="12"/>
    <col min="15646" max="15646" width="53" style="12" customWidth="1"/>
    <col min="15647" max="15647" width="14.41796875" style="12" customWidth="1"/>
    <col min="15648" max="15660" width="11" style="12" customWidth="1"/>
    <col min="15661" max="15661" width="12.83984375" style="12" customWidth="1"/>
    <col min="15662" max="15662" width="10" style="12" bestFit="1" customWidth="1"/>
    <col min="15663" max="15901" width="9.15625" style="12"/>
    <col min="15902" max="15902" width="53" style="12" customWidth="1"/>
    <col min="15903" max="15903" width="14.41796875" style="12" customWidth="1"/>
    <col min="15904" max="15916" width="11" style="12" customWidth="1"/>
    <col min="15917" max="15917" width="12.83984375" style="12" customWidth="1"/>
    <col min="15918" max="15918" width="10" style="12" bestFit="1" customWidth="1"/>
    <col min="15919" max="16157" width="9.15625" style="12"/>
    <col min="16158" max="16158" width="53" style="12" customWidth="1"/>
    <col min="16159" max="16159" width="14.41796875" style="12" customWidth="1"/>
    <col min="16160" max="16172" width="11" style="12" customWidth="1"/>
    <col min="16173" max="16173" width="12.83984375" style="12" customWidth="1"/>
    <col min="16174" max="16174" width="10" style="12" bestFit="1" customWidth="1"/>
    <col min="16175" max="16384" width="9.15625" style="12"/>
  </cols>
  <sheetData>
    <row r="1" spans="1:46" customFormat="1" ht="14.4" x14ac:dyDescent="0.55000000000000004">
      <c r="A1" s="311" t="s">
        <v>5</v>
      </c>
      <c r="B1" s="311"/>
      <c r="C1" s="82"/>
      <c r="D1" s="82"/>
      <c r="E1" s="82"/>
      <c r="F1" s="82"/>
      <c r="G1" s="82"/>
      <c r="H1" s="82"/>
      <c r="I1" s="82"/>
      <c r="J1" s="82"/>
      <c r="O1" s="107"/>
      <c r="P1" s="107"/>
      <c r="AC1" s="107"/>
      <c r="AD1" s="107"/>
      <c r="AQ1" s="107"/>
      <c r="AR1" s="107"/>
    </row>
    <row r="2" spans="1:46" ht="12.75" customHeight="1" x14ac:dyDescent="0.4">
      <c r="A2" s="8"/>
      <c r="B2" s="9"/>
      <c r="C2" s="137" t="str">
        <f>A92</f>
        <v>Срок окупаемости проекта с учетом инвестиций в товар, мес.:</v>
      </c>
      <c r="D2" s="138">
        <f>B92</f>
        <v>12</v>
      </c>
      <c r="E2" s="9"/>
      <c r="F2" s="9"/>
      <c r="G2" s="9"/>
      <c r="H2" s="9"/>
      <c r="I2" s="10"/>
      <c r="J2" s="11"/>
      <c r="K2" s="11"/>
      <c r="L2" s="11"/>
      <c r="M2" s="11"/>
      <c r="N2" s="11"/>
      <c r="O2" s="108"/>
      <c r="P2" s="108"/>
      <c r="Q2" s="9"/>
      <c r="R2" s="60"/>
      <c r="S2" s="9"/>
      <c r="T2" s="9"/>
      <c r="U2" s="9"/>
      <c r="V2" s="9"/>
      <c r="W2" s="10"/>
      <c r="X2" s="11"/>
      <c r="Y2" s="11"/>
      <c r="Z2" s="11"/>
      <c r="AA2" s="11"/>
      <c r="AB2" s="11"/>
      <c r="AC2" s="108"/>
      <c r="AD2" s="108"/>
      <c r="AE2" s="9"/>
      <c r="AF2" s="60"/>
      <c r="AG2" s="9"/>
      <c r="AH2" s="9"/>
      <c r="AI2" s="9"/>
      <c r="AJ2" s="9"/>
      <c r="AK2" s="10"/>
      <c r="AL2" s="11"/>
      <c r="AM2" s="11"/>
      <c r="AN2" s="11"/>
      <c r="AO2" s="11"/>
      <c r="AP2" s="11"/>
      <c r="AQ2" s="108"/>
      <c r="AR2" s="108"/>
      <c r="AS2" s="11"/>
    </row>
    <row r="3" spans="1:46" hidden="1" x14ac:dyDescent="0.4">
      <c r="C3" s="94">
        <f>'Исходные данные'!$Q$2</f>
        <v>1</v>
      </c>
      <c r="D3" s="94">
        <f>IF(C3=12,1,C3+1)</f>
        <v>2</v>
      </c>
      <c r="E3" s="94">
        <f t="shared" ref="E3:AB3" si="0">IF(D3=12,1,D3+1)</f>
        <v>3</v>
      </c>
      <c r="F3" s="94">
        <f t="shared" si="0"/>
        <v>4</v>
      </c>
      <c r="G3" s="94">
        <f t="shared" si="0"/>
        <v>5</v>
      </c>
      <c r="H3" s="94">
        <f t="shared" si="0"/>
        <v>6</v>
      </c>
      <c r="I3" s="94">
        <f t="shared" si="0"/>
        <v>7</v>
      </c>
      <c r="J3" s="94">
        <f t="shared" si="0"/>
        <v>8</v>
      </c>
      <c r="K3" s="94">
        <f t="shared" si="0"/>
        <v>9</v>
      </c>
      <c r="L3" s="94">
        <f t="shared" si="0"/>
        <v>10</v>
      </c>
      <c r="M3" s="94">
        <f t="shared" si="0"/>
        <v>11</v>
      </c>
      <c r="N3" s="94">
        <f t="shared" si="0"/>
        <v>12</v>
      </c>
      <c r="O3" s="111"/>
      <c r="P3" s="111"/>
      <c r="Q3" s="94">
        <f>IF(N3=12,1,N3+1)</f>
        <v>1</v>
      </c>
      <c r="R3" s="94">
        <f t="shared" si="0"/>
        <v>2</v>
      </c>
      <c r="S3" s="94">
        <f t="shared" si="0"/>
        <v>3</v>
      </c>
      <c r="T3" s="94">
        <f t="shared" si="0"/>
        <v>4</v>
      </c>
      <c r="U3" s="94">
        <f t="shared" si="0"/>
        <v>5</v>
      </c>
      <c r="V3" s="94">
        <f t="shared" si="0"/>
        <v>6</v>
      </c>
      <c r="W3" s="94">
        <f t="shared" si="0"/>
        <v>7</v>
      </c>
      <c r="X3" s="94">
        <f t="shared" si="0"/>
        <v>8</v>
      </c>
      <c r="Y3" s="94">
        <f t="shared" si="0"/>
        <v>9</v>
      </c>
      <c r="Z3" s="94">
        <f t="shared" si="0"/>
        <v>10</v>
      </c>
      <c r="AA3" s="94">
        <f t="shared" si="0"/>
        <v>11</v>
      </c>
      <c r="AB3" s="94">
        <f t="shared" si="0"/>
        <v>12</v>
      </c>
      <c r="AC3" s="111"/>
      <c r="AD3" s="111"/>
      <c r="AE3" s="94">
        <f>IF(AB3=12,1,AB3+1)</f>
        <v>1</v>
      </c>
      <c r="AF3" s="94">
        <f t="shared" ref="AF3:AP3" si="1">IF(AE3=12,1,AE3+1)</f>
        <v>2</v>
      </c>
      <c r="AG3" s="94">
        <f t="shared" si="1"/>
        <v>3</v>
      </c>
      <c r="AH3" s="94">
        <f t="shared" si="1"/>
        <v>4</v>
      </c>
      <c r="AI3" s="94">
        <f t="shared" si="1"/>
        <v>5</v>
      </c>
      <c r="AJ3" s="94">
        <f t="shared" si="1"/>
        <v>6</v>
      </c>
      <c r="AK3" s="94">
        <f t="shared" si="1"/>
        <v>7</v>
      </c>
      <c r="AL3" s="94">
        <f t="shared" si="1"/>
        <v>8</v>
      </c>
      <c r="AM3" s="94">
        <f t="shared" si="1"/>
        <v>9</v>
      </c>
      <c r="AN3" s="94">
        <f t="shared" si="1"/>
        <v>10</v>
      </c>
      <c r="AO3" s="94">
        <f t="shared" si="1"/>
        <v>11</v>
      </c>
      <c r="AP3" s="94">
        <f t="shared" si="1"/>
        <v>12</v>
      </c>
      <c r="AQ3" s="111"/>
      <c r="AR3" s="111"/>
    </row>
    <row r="4" spans="1:46" x14ac:dyDescent="0.4">
      <c r="B4" s="95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112"/>
      <c r="P4" s="112"/>
      <c r="Q4" s="96"/>
      <c r="R4" s="96"/>
      <c r="S4" s="96"/>
      <c r="T4" s="96"/>
      <c r="U4" s="96"/>
      <c r="V4" s="96"/>
      <c r="W4" s="96"/>
      <c r="X4" s="96"/>
      <c r="Y4" s="96"/>
      <c r="AC4" s="112"/>
      <c r="AD4" s="112"/>
      <c r="AE4" s="96"/>
      <c r="AF4" s="96"/>
      <c r="AG4" s="96"/>
      <c r="AH4" s="96"/>
      <c r="AI4" s="96"/>
      <c r="AJ4" s="96"/>
      <c r="AK4" s="96"/>
      <c r="AL4" s="96"/>
      <c r="AM4" s="96"/>
      <c r="AQ4" s="112"/>
      <c r="AR4" s="112"/>
    </row>
    <row r="5" spans="1:46" s="13" customFormat="1" ht="14.25" customHeight="1" thickBot="1" x14ac:dyDescent="0.4">
      <c r="B5" s="72"/>
      <c r="C5" s="314" t="s">
        <v>33</v>
      </c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6"/>
      <c r="Q5" s="317" t="s">
        <v>34</v>
      </c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9"/>
      <c r="AE5" s="320" t="s">
        <v>37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0"/>
      <c r="AR5" s="320"/>
    </row>
    <row r="6" spans="1:46" s="13" customFormat="1" ht="11.1" thickTop="1" thickBot="1" x14ac:dyDescent="0.4">
      <c r="A6" s="14" t="s">
        <v>6</v>
      </c>
      <c r="B6" s="17"/>
      <c r="C6" s="98" t="str">
        <f>CHOOSE(C3,'Исходные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D6" s="98" t="str">
        <f>CHOOSE(D3,'Исходные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E6" s="98" t="str">
        <f>CHOOSE(E3,'Исходные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F6" s="98" t="str">
        <f>CHOOSE(F3,'Исходные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G6" s="98" t="str">
        <f>CHOOSE(G3,'Исходные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H6" s="98" t="str">
        <f>CHOOSE(H3,'Исходные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I6" s="98" t="str">
        <f>CHOOSE(I3,'Исходные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J6" s="98" t="str">
        <f>CHOOSE(J3,'Исходные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K6" s="98" t="str">
        <f>CHOOSE(K3,'Исходные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L6" s="98" t="str">
        <f>CHOOSE(L3,'Исходные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M6" s="98" t="str">
        <f>CHOOSE(M3,'Исходные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N6" s="98" t="str">
        <f>CHOOSE(N3,'Исходные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O6" s="113"/>
      <c r="P6" s="113"/>
      <c r="Q6" s="98" t="str">
        <f>CHOOSE(Q3,'Исходные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R6" s="98" t="str">
        <f>CHOOSE(R3,'Исходные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S6" s="98" t="str">
        <f>CHOOSE(S3,'Исходные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T6" s="98" t="str">
        <f>CHOOSE(T3,'Исходные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U6" s="98" t="str">
        <f>CHOOSE(U3,'Исходные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V6" s="98" t="str">
        <f>CHOOSE(V3,'Исходные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W6" s="98" t="str">
        <f>CHOOSE(W3,'Исходные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X6" s="98" t="str">
        <f>CHOOSE(X3,'Исходные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Y6" s="98" t="str">
        <f>CHOOSE(Y3,'Исходные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Z6" s="98" t="str">
        <f>CHOOSE(Z3,'Исходные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A6" s="98" t="str">
        <f>CHOOSE(AA3,'Исходные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B6" s="98" t="str">
        <f>CHOOSE(AB3,'Исходные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C6" s="113"/>
      <c r="AD6" s="113"/>
      <c r="AE6" s="98" t="str">
        <f>CHOOSE(AE3,'Исходные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AF6" s="98" t="str">
        <f>CHOOSE(AF3,'Исходные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AG6" s="98" t="str">
        <f>CHOOSE(AG3,'Исходные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AH6" s="98" t="str">
        <f>CHOOSE(AH3,'Исходные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AI6" s="98" t="str">
        <f>CHOOSE(AI3,'Исходные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AJ6" s="98" t="str">
        <f>CHOOSE(AJ3,'Исходные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AK6" s="98" t="str">
        <f>CHOOSE(AK3,'Исходные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AL6" s="98" t="str">
        <f>CHOOSE(AL3,'Исходные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AM6" s="98" t="str">
        <f>CHOOSE(AM3,'Исходные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AN6" s="98" t="str">
        <f>CHOOSE(AN3,'Исходные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O6" s="98" t="str">
        <f>CHOOSE(AO3,'Исходные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P6" s="98" t="str">
        <f>CHOOSE(AP3,'Исходные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Q6" s="113"/>
      <c r="AR6" s="113"/>
      <c r="AS6" s="16"/>
    </row>
    <row r="7" spans="1:46" s="13" customFormat="1" ht="10.8" outlineLevel="1" thickTop="1" x14ac:dyDescent="0.35">
      <c r="A7" s="93" t="s">
        <v>86</v>
      </c>
      <c r="B7" s="63"/>
      <c r="C7" s="91">
        <v>0.1</v>
      </c>
      <c r="D7" s="91">
        <v>0.2</v>
      </c>
      <c r="E7" s="91">
        <v>0.2</v>
      </c>
      <c r="F7" s="91">
        <v>0.3</v>
      </c>
      <c r="G7" s="91">
        <v>0.4</v>
      </c>
      <c r="H7" s="91">
        <v>0.4</v>
      </c>
      <c r="I7" s="91">
        <v>0.4</v>
      </c>
      <c r="J7" s="91">
        <v>0.4</v>
      </c>
      <c r="K7" s="91">
        <v>0.4</v>
      </c>
      <c r="L7" s="91">
        <v>0.4</v>
      </c>
      <c r="M7" s="91">
        <v>0.5</v>
      </c>
      <c r="N7" s="91">
        <v>0.5</v>
      </c>
      <c r="O7" s="110"/>
      <c r="P7" s="110"/>
      <c r="Q7" s="91">
        <v>0.5</v>
      </c>
      <c r="R7" s="91">
        <v>0.5</v>
      </c>
      <c r="S7" s="91">
        <v>0.5</v>
      </c>
      <c r="T7" s="91">
        <v>0.5</v>
      </c>
      <c r="U7" s="91">
        <v>0.5</v>
      </c>
      <c r="V7" s="91">
        <v>0.5</v>
      </c>
      <c r="W7" s="91">
        <v>0.5</v>
      </c>
      <c r="X7" s="91">
        <v>0.6</v>
      </c>
      <c r="Y7" s="91">
        <v>0.6</v>
      </c>
      <c r="Z7" s="91">
        <v>0.6</v>
      </c>
      <c r="AA7" s="91">
        <v>0.6</v>
      </c>
      <c r="AB7" s="91">
        <v>0.6</v>
      </c>
      <c r="AC7" s="110"/>
      <c r="AD7" s="110"/>
      <c r="AE7" s="91">
        <v>0.6</v>
      </c>
      <c r="AF7" s="91">
        <v>0.6</v>
      </c>
      <c r="AG7" s="91">
        <v>0.6</v>
      </c>
      <c r="AH7" s="91">
        <v>0.7</v>
      </c>
      <c r="AI7" s="91">
        <v>0.7</v>
      </c>
      <c r="AJ7" s="91">
        <v>0.7</v>
      </c>
      <c r="AK7" s="91">
        <v>0.8</v>
      </c>
      <c r="AL7" s="91">
        <v>0.8</v>
      </c>
      <c r="AM7" s="91">
        <v>0.9</v>
      </c>
      <c r="AN7" s="91">
        <v>1</v>
      </c>
      <c r="AO7" s="91">
        <v>1</v>
      </c>
      <c r="AP7" s="91">
        <v>1</v>
      </c>
      <c r="AQ7" s="110"/>
      <c r="AR7" s="110"/>
      <c r="AS7" s="92"/>
    </row>
    <row r="8" spans="1:46" outlineLevel="1" x14ac:dyDescent="0.4">
      <c r="A8" s="13" t="s">
        <v>87</v>
      </c>
      <c r="C8" s="91">
        <v>1</v>
      </c>
      <c r="D8" s="91">
        <v>1</v>
      </c>
      <c r="E8" s="91">
        <v>1</v>
      </c>
      <c r="F8" s="91">
        <v>1</v>
      </c>
      <c r="G8" s="91">
        <v>1</v>
      </c>
      <c r="H8" s="91">
        <v>1</v>
      </c>
      <c r="I8" s="91">
        <v>1</v>
      </c>
      <c r="J8" s="91">
        <v>1</v>
      </c>
      <c r="K8" s="91">
        <v>1</v>
      </c>
      <c r="L8" s="91">
        <v>1</v>
      </c>
      <c r="M8" s="91">
        <v>1</v>
      </c>
      <c r="N8" s="91">
        <v>1</v>
      </c>
      <c r="O8" s="110"/>
      <c r="P8" s="110"/>
      <c r="Q8" s="91">
        <v>1</v>
      </c>
      <c r="R8" s="91">
        <v>1</v>
      </c>
      <c r="S8" s="91">
        <v>1</v>
      </c>
      <c r="T8" s="91">
        <v>1</v>
      </c>
      <c r="U8" s="91">
        <v>1</v>
      </c>
      <c r="V8" s="91">
        <v>1</v>
      </c>
      <c r="W8" s="91">
        <v>1</v>
      </c>
      <c r="X8" s="91">
        <v>1</v>
      </c>
      <c r="Y8" s="91">
        <v>1</v>
      </c>
      <c r="Z8" s="91">
        <v>1</v>
      </c>
      <c r="AA8" s="91">
        <v>1</v>
      </c>
      <c r="AB8" s="91">
        <v>1</v>
      </c>
      <c r="AC8" s="110"/>
      <c r="AD8" s="110"/>
      <c r="AE8" s="91">
        <v>1</v>
      </c>
      <c r="AF8" s="91">
        <v>1</v>
      </c>
      <c r="AG8" s="91">
        <v>1</v>
      </c>
      <c r="AH8" s="91">
        <v>1</v>
      </c>
      <c r="AI8" s="91">
        <v>1</v>
      </c>
      <c r="AJ8" s="91">
        <v>1</v>
      </c>
      <c r="AK8" s="91">
        <v>1</v>
      </c>
      <c r="AL8" s="91">
        <v>1</v>
      </c>
      <c r="AM8" s="91">
        <v>1</v>
      </c>
      <c r="AN8" s="91">
        <v>1</v>
      </c>
      <c r="AO8" s="91">
        <v>1</v>
      </c>
      <c r="AP8" s="91">
        <v>1</v>
      </c>
      <c r="AQ8" s="110"/>
      <c r="AR8" s="110"/>
    </row>
    <row r="9" spans="1:46" s="13" customFormat="1" ht="10.5" outlineLevel="1" x14ac:dyDescent="0.35">
      <c r="A9" s="93" t="s">
        <v>89</v>
      </c>
      <c r="B9" s="63"/>
      <c r="C9" s="91">
        <v>1</v>
      </c>
      <c r="D9" s="91">
        <v>1</v>
      </c>
      <c r="E9" s="91">
        <v>1</v>
      </c>
      <c r="F9" s="91">
        <v>1</v>
      </c>
      <c r="G9" s="91">
        <v>1</v>
      </c>
      <c r="H9" s="91">
        <v>1</v>
      </c>
      <c r="I9" s="91">
        <v>1</v>
      </c>
      <c r="J9" s="91">
        <v>1</v>
      </c>
      <c r="K9" s="91">
        <v>1</v>
      </c>
      <c r="L9" s="91">
        <v>1</v>
      </c>
      <c r="M9" s="91">
        <v>1</v>
      </c>
      <c r="N9" s="91">
        <v>1</v>
      </c>
      <c r="O9" s="110"/>
      <c r="P9" s="110"/>
      <c r="Q9" s="91">
        <v>1</v>
      </c>
      <c r="R9" s="91">
        <v>1</v>
      </c>
      <c r="S9" s="91">
        <v>1</v>
      </c>
      <c r="T9" s="91">
        <v>1</v>
      </c>
      <c r="U9" s="91">
        <v>1</v>
      </c>
      <c r="V9" s="91">
        <v>1</v>
      </c>
      <c r="W9" s="91">
        <v>1</v>
      </c>
      <c r="X9" s="91">
        <v>1</v>
      </c>
      <c r="Y9" s="91">
        <v>1</v>
      </c>
      <c r="Z9" s="91">
        <v>1</v>
      </c>
      <c r="AA9" s="91">
        <v>1</v>
      </c>
      <c r="AB9" s="91">
        <v>1</v>
      </c>
      <c r="AC9" s="110"/>
      <c r="AD9" s="110"/>
      <c r="AE9" s="91">
        <v>1</v>
      </c>
      <c r="AF9" s="91">
        <v>1</v>
      </c>
      <c r="AG9" s="91">
        <v>1</v>
      </c>
      <c r="AH9" s="91">
        <v>1</v>
      </c>
      <c r="AI9" s="91">
        <v>1</v>
      </c>
      <c r="AJ9" s="91">
        <v>1</v>
      </c>
      <c r="AK9" s="91">
        <v>1</v>
      </c>
      <c r="AL9" s="91">
        <v>1</v>
      </c>
      <c r="AM9" s="91">
        <v>1</v>
      </c>
      <c r="AN9" s="91">
        <v>1</v>
      </c>
      <c r="AO9" s="91">
        <v>1</v>
      </c>
      <c r="AP9" s="91">
        <v>1</v>
      </c>
      <c r="AQ9" s="110"/>
      <c r="AR9" s="110"/>
      <c r="AS9" s="92"/>
    </row>
    <row r="10" spans="1:46" outlineLevel="1" x14ac:dyDescent="0.4">
      <c r="A10" s="13" t="s">
        <v>88</v>
      </c>
      <c r="C10" s="91">
        <v>1</v>
      </c>
      <c r="D10" s="91">
        <v>1</v>
      </c>
      <c r="E10" s="91">
        <v>1</v>
      </c>
      <c r="F10" s="91">
        <v>1</v>
      </c>
      <c r="G10" s="91">
        <v>1</v>
      </c>
      <c r="H10" s="91">
        <v>1</v>
      </c>
      <c r="I10" s="91">
        <v>1</v>
      </c>
      <c r="J10" s="91">
        <v>1</v>
      </c>
      <c r="K10" s="91">
        <v>1</v>
      </c>
      <c r="L10" s="91">
        <v>1</v>
      </c>
      <c r="M10" s="91">
        <v>1</v>
      </c>
      <c r="N10" s="91">
        <v>1</v>
      </c>
      <c r="O10" s="110"/>
      <c r="P10" s="110"/>
      <c r="Q10" s="91">
        <v>1</v>
      </c>
      <c r="R10" s="91">
        <v>1</v>
      </c>
      <c r="S10" s="91">
        <v>1</v>
      </c>
      <c r="T10" s="91">
        <v>1</v>
      </c>
      <c r="U10" s="91">
        <v>1</v>
      </c>
      <c r="V10" s="91">
        <v>1</v>
      </c>
      <c r="W10" s="91">
        <v>1</v>
      </c>
      <c r="X10" s="91">
        <v>1</v>
      </c>
      <c r="Y10" s="91">
        <v>1</v>
      </c>
      <c r="Z10" s="91">
        <v>1</v>
      </c>
      <c r="AA10" s="91">
        <v>1</v>
      </c>
      <c r="AB10" s="91">
        <v>1</v>
      </c>
      <c r="AC10" s="110"/>
      <c r="AD10" s="110"/>
      <c r="AE10" s="91">
        <v>1</v>
      </c>
      <c r="AF10" s="91">
        <v>1</v>
      </c>
      <c r="AG10" s="91">
        <v>1</v>
      </c>
      <c r="AH10" s="91">
        <v>1</v>
      </c>
      <c r="AI10" s="91">
        <v>1</v>
      </c>
      <c r="AJ10" s="91">
        <v>1</v>
      </c>
      <c r="AK10" s="91">
        <v>1</v>
      </c>
      <c r="AL10" s="91">
        <v>1</v>
      </c>
      <c r="AM10" s="91">
        <v>1</v>
      </c>
      <c r="AN10" s="91">
        <v>1</v>
      </c>
      <c r="AO10" s="91">
        <v>1</v>
      </c>
      <c r="AP10" s="91">
        <v>1</v>
      </c>
      <c r="AQ10" s="110"/>
      <c r="AR10" s="110"/>
    </row>
    <row r="11" spans="1:46" s="13" customFormat="1" ht="10.5" outlineLevel="1" x14ac:dyDescent="0.4">
      <c r="A11" s="13" t="s">
        <v>90</v>
      </c>
      <c r="O11" s="114"/>
      <c r="P11" s="114"/>
      <c r="AC11" s="114"/>
      <c r="AD11" s="114"/>
      <c r="AQ11" s="114"/>
      <c r="AR11" s="114"/>
    </row>
    <row r="12" spans="1:46" s="13" customFormat="1" ht="13.5" customHeight="1" thickBot="1" x14ac:dyDescent="0.4">
      <c r="A12" s="72"/>
      <c r="B12" s="72"/>
      <c r="C12" s="317" t="s">
        <v>33</v>
      </c>
      <c r="D12" s="318"/>
      <c r="E12" s="318"/>
      <c r="F12" s="318"/>
      <c r="G12" s="318"/>
      <c r="H12" s="318"/>
      <c r="I12" s="318"/>
      <c r="J12" s="318"/>
      <c r="K12" s="318"/>
      <c r="L12" s="318"/>
      <c r="M12" s="318"/>
      <c r="N12" s="318"/>
      <c r="O12" s="318"/>
      <c r="P12" s="319"/>
      <c r="Q12" s="317" t="s">
        <v>34</v>
      </c>
      <c r="R12" s="318"/>
      <c r="S12" s="318"/>
      <c r="T12" s="318"/>
      <c r="U12" s="318"/>
      <c r="V12" s="318"/>
      <c r="W12" s="318"/>
      <c r="X12" s="318"/>
      <c r="Y12" s="318"/>
      <c r="Z12" s="318"/>
      <c r="AA12" s="318"/>
      <c r="AB12" s="318"/>
      <c r="AC12" s="318"/>
      <c r="AD12" s="319"/>
      <c r="AE12" s="320" t="s">
        <v>37</v>
      </c>
      <c r="AF12" s="320"/>
      <c r="AG12" s="320"/>
      <c r="AH12" s="320"/>
      <c r="AI12" s="320"/>
      <c r="AJ12" s="320"/>
      <c r="AK12" s="320"/>
      <c r="AL12" s="320"/>
      <c r="AM12" s="320"/>
      <c r="AN12" s="320"/>
      <c r="AO12" s="320"/>
      <c r="AP12" s="320"/>
      <c r="AQ12" s="320"/>
      <c r="AR12" s="320"/>
      <c r="AS12" s="312" t="s">
        <v>44</v>
      </c>
    </row>
    <row r="13" spans="1:46" s="20" customFormat="1" ht="21.6" thickTop="1" thickBot="1" x14ac:dyDescent="0.4">
      <c r="A13" s="18" t="s">
        <v>7</v>
      </c>
      <c r="B13" s="19"/>
      <c r="C13" s="97" t="str">
        <f t="shared" ref="C13:N13" si="2">C$6</f>
        <v>январь</v>
      </c>
      <c r="D13" s="97" t="str">
        <f t="shared" si="2"/>
        <v>февраль</v>
      </c>
      <c r="E13" s="97" t="str">
        <f t="shared" si="2"/>
        <v>март</v>
      </c>
      <c r="F13" s="97" t="str">
        <f t="shared" si="2"/>
        <v>апрель</v>
      </c>
      <c r="G13" s="97" t="str">
        <f t="shared" si="2"/>
        <v>май</v>
      </c>
      <c r="H13" s="97" t="str">
        <f t="shared" si="2"/>
        <v>июнь</v>
      </c>
      <c r="I13" s="97" t="str">
        <f t="shared" si="2"/>
        <v>июль</v>
      </c>
      <c r="J13" s="97" t="str">
        <f t="shared" si="2"/>
        <v>август</v>
      </c>
      <c r="K13" s="97" t="str">
        <f t="shared" si="2"/>
        <v>сентябрь</v>
      </c>
      <c r="L13" s="97" t="str">
        <f t="shared" si="2"/>
        <v>октябрь</v>
      </c>
      <c r="M13" s="97" t="str">
        <f t="shared" si="2"/>
        <v>ноябрь</v>
      </c>
      <c r="N13" s="97" t="str">
        <f t="shared" si="2"/>
        <v>декабрь</v>
      </c>
      <c r="O13" s="115" t="s">
        <v>38</v>
      </c>
      <c r="P13" s="115" t="s">
        <v>39</v>
      </c>
      <c r="Q13" s="97" t="str">
        <f t="shared" ref="Q13:AB13" si="3">Q$6</f>
        <v>январь</v>
      </c>
      <c r="R13" s="97" t="str">
        <f t="shared" si="3"/>
        <v>февраль</v>
      </c>
      <c r="S13" s="97" t="str">
        <f t="shared" si="3"/>
        <v>март</v>
      </c>
      <c r="T13" s="97" t="str">
        <f t="shared" si="3"/>
        <v>апрель</v>
      </c>
      <c r="U13" s="97" t="str">
        <f t="shared" si="3"/>
        <v>май</v>
      </c>
      <c r="V13" s="97" t="str">
        <f t="shared" si="3"/>
        <v>июнь</v>
      </c>
      <c r="W13" s="97" t="str">
        <f t="shared" si="3"/>
        <v>июль</v>
      </c>
      <c r="X13" s="97" t="str">
        <f t="shared" si="3"/>
        <v>август</v>
      </c>
      <c r="Y13" s="97" t="str">
        <f t="shared" si="3"/>
        <v>сентябрь</v>
      </c>
      <c r="Z13" s="97" t="str">
        <f t="shared" si="3"/>
        <v>октябрь</v>
      </c>
      <c r="AA13" s="97" t="str">
        <f t="shared" si="3"/>
        <v>ноябрь</v>
      </c>
      <c r="AB13" s="97" t="str">
        <f t="shared" si="3"/>
        <v>декабрь</v>
      </c>
      <c r="AC13" s="115" t="s">
        <v>41</v>
      </c>
      <c r="AD13" s="115" t="s">
        <v>40</v>
      </c>
      <c r="AE13" s="97" t="str">
        <f t="shared" ref="AE13:AP13" si="4">AE$6</f>
        <v>январь</v>
      </c>
      <c r="AF13" s="97" t="str">
        <f t="shared" si="4"/>
        <v>февраль</v>
      </c>
      <c r="AG13" s="97" t="str">
        <f t="shared" si="4"/>
        <v>март</v>
      </c>
      <c r="AH13" s="97" t="str">
        <f t="shared" si="4"/>
        <v>апрель</v>
      </c>
      <c r="AI13" s="97" t="str">
        <f t="shared" si="4"/>
        <v>май</v>
      </c>
      <c r="AJ13" s="97" t="str">
        <f t="shared" si="4"/>
        <v>июнь</v>
      </c>
      <c r="AK13" s="97" t="str">
        <f t="shared" si="4"/>
        <v>июль</v>
      </c>
      <c r="AL13" s="97" t="str">
        <f t="shared" si="4"/>
        <v>август</v>
      </c>
      <c r="AM13" s="97" t="str">
        <f t="shared" si="4"/>
        <v>сентябрь</v>
      </c>
      <c r="AN13" s="97" t="str">
        <f t="shared" si="4"/>
        <v>октябрь</v>
      </c>
      <c r="AO13" s="97" t="str">
        <f t="shared" si="4"/>
        <v>ноябрь</v>
      </c>
      <c r="AP13" s="97" t="str">
        <f t="shared" si="4"/>
        <v>декабрь</v>
      </c>
      <c r="AQ13" s="115" t="s">
        <v>42</v>
      </c>
      <c r="AR13" s="115" t="s">
        <v>43</v>
      </c>
      <c r="AS13" s="313"/>
    </row>
    <row r="14" spans="1:46" s="35" customFormat="1" ht="10.8" thickTop="1" x14ac:dyDescent="0.35">
      <c r="A14" s="61" t="str">
        <f>'Обобщенный расчет'!A9</f>
        <v>Материалы</v>
      </c>
      <c r="B14" s="21" t="str">
        <f>CHOOSE('Исходные данные'!$O$2,'Исходные данные'!$P$2,'Исходные данные'!$P$3,'Исходные данные'!$P$4,'Исходные данные'!$P$5)</f>
        <v>USD</v>
      </c>
      <c r="C14" s="33">
        <f>C$7*C$8*'Обобщенный расчет'!$F$9</f>
        <v>714.28571428571433</v>
      </c>
      <c r="D14" s="33">
        <f>D$7*D$8*'Обобщенный расчет'!$F$9</f>
        <v>1428.5714285714287</v>
      </c>
      <c r="E14" s="33">
        <f>E$7*E$8*'Обобщенный расчет'!$F$9</f>
        <v>1428.5714285714287</v>
      </c>
      <c r="F14" s="33">
        <f>F$7*F$8*'Обобщенный расчет'!$F$9</f>
        <v>2142.8571428571427</v>
      </c>
      <c r="G14" s="33">
        <f>G$7*G$8*'Обобщенный расчет'!$F$9</f>
        <v>2857.1428571428573</v>
      </c>
      <c r="H14" s="33">
        <f>H$7*H$8*'Обобщенный расчет'!$F$9</f>
        <v>2857.1428571428573</v>
      </c>
      <c r="I14" s="33">
        <f>I$7*I$8*'Обобщенный расчет'!$F$9</f>
        <v>2857.1428571428573</v>
      </c>
      <c r="J14" s="33">
        <f>J$7*J$8*'Обобщенный расчет'!$F$9</f>
        <v>2857.1428571428573</v>
      </c>
      <c r="K14" s="33">
        <f>K$7*K$8*'Обобщенный расчет'!$F$9</f>
        <v>2857.1428571428573</v>
      </c>
      <c r="L14" s="33">
        <f>L$7*L$8*'Обобщенный расчет'!$F$9</f>
        <v>2857.1428571428573</v>
      </c>
      <c r="M14" s="33">
        <f>M$7*M$8*'Обобщенный расчет'!$F$9</f>
        <v>3571.4285714285716</v>
      </c>
      <c r="N14" s="33">
        <f>N$7*N$8*'Обобщенный расчет'!$F$9</f>
        <v>3571.4285714285716</v>
      </c>
      <c r="O14" s="116">
        <f t="shared" ref="O14" si="5">SUM(C14:N14)</f>
        <v>30000.000000000004</v>
      </c>
      <c r="P14" s="116">
        <f t="shared" ref="P14" si="6">O14/12</f>
        <v>2500.0000000000005</v>
      </c>
      <c r="Q14" s="33">
        <f>Q$7*Q$8*'Обобщенный расчет'!$F$9</f>
        <v>3571.4285714285716</v>
      </c>
      <c r="R14" s="33">
        <f>R$7*R$8*'Обобщенный расчет'!$F$9</f>
        <v>3571.4285714285716</v>
      </c>
      <c r="S14" s="33">
        <f>S$7*S$8*'Обобщенный расчет'!$F$9</f>
        <v>3571.4285714285716</v>
      </c>
      <c r="T14" s="33">
        <f>T$7*T$8*'Обобщенный расчет'!$F$9</f>
        <v>3571.4285714285716</v>
      </c>
      <c r="U14" s="33">
        <f>U$7*U$8*'Обобщенный расчет'!$F$9</f>
        <v>3571.4285714285716</v>
      </c>
      <c r="V14" s="33">
        <f>V$7*V$8*'Обобщенный расчет'!$F$9</f>
        <v>3571.4285714285716</v>
      </c>
      <c r="W14" s="33">
        <f>W$7*W$8*'Обобщенный расчет'!$F$9</f>
        <v>3571.4285714285716</v>
      </c>
      <c r="X14" s="33">
        <f>X$7*X$8*'Обобщенный расчет'!$F$9</f>
        <v>4285.7142857142853</v>
      </c>
      <c r="Y14" s="33">
        <f>Y$7*Y$8*'Обобщенный расчет'!$F$9</f>
        <v>4285.7142857142853</v>
      </c>
      <c r="Z14" s="33">
        <f>Z$7*Z$8*'Обобщенный расчет'!$F$9</f>
        <v>4285.7142857142853</v>
      </c>
      <c r="AA14" s="33">
        <f>AA$7*AA$8*'Обобщенный расчет'!$F$9</f>
        <v>4285.7142857142853</v>
      </c>
      <c r="AB14" s="33">
        <f>AB$7*AB$8*'Обобщенный расчет'!$F$9</f>
        <v>4285.7142857142853</v>
      </c>
      <c r="AC14" s="116">
        <f t="shared" ref="AC14" si="7">SUM(Q14:AB14)</f>
        <v>46428.57142857142</v>
      </c>
      <c r="AD14" s="116">
        <f t="shared" ref="AD14" si="8">AC14/12</f>
        <v>3869.0476190476184</v>
      </c>
      <c r="AE14" s="33">
        <f>AE$7*AE$8*'Обобщенный расчет'!$F$9</f>
        <v>4285.7142857142853</v>
      </c>
      <c r="AF14" s="33">
        <f>AF$7*AF$8*'Обобщенный расчет'!$F$9</f>
        <v>4285.7142857142853</v>
      </c>
      <c r="AG14" s="33">
        <f>AG$7*AG$8*'Обобщенный расчет'!$F$9</f>
        <v>4285.7142857142853</v>
      </c>
      <c r="AH14" s="33">
        <f>AH$7*AH$8*'Обобщенный расчет'!$F$9</f>
        <v>5000</v>
      </c>
      <c r="AI14" s="33">
        <f>AI$7*AI$8*'Обобщенный расчет'!$F$9</f>
        <v>5000</v>
      </c>
      <c r="AJ14" s="33">
        <f>AJ$7*AJ$8*'Обобщенный расчет'!$F$9</f>
        <v>5000</v>
      </c>
      <c r="AK14" s="33">
        <f>AK$7*AK$8*'Обобщенный расчет'!$F$9</f>
        <v>5714.2857142857147</v>
      </c>
      <c r="AL14" s="33">
        <f>AL$7*AL$8*'Обобщенный расчет'!$F$9</f>
        <v>5714.2857142857147</v>
      </c>
      <c r="AM14" s="33">
        <f>AM$7*AM$8*'Обобщенный расчет'!$F$9</f>
        <v>6428.5714285714294</v>
      </c>
      <c r="AN14" s="33">
        <f>AN$7*AN$8*'Обобщенный расчет'!$F$9</f>
        <v>7142.8571428571431</v>
      </c>
      <c r="AO14" s="33">
        <f>AO$7*AO$8*'Обобщенный расчет'!$F$9</f>
        <v>7142.8571428571431</v>
      </c>
      <c r="AP14" s="33">
        <f>AP$7*AP$8*'Обобщенный расчет'!$F$9</f>
        <v>7142.8571428571431</v>
      </c>
      <c r="AQ14" s="116">
        <f t="shared" ref="AQ14" si="9">SUM(AE14:AP14)</f>
        <v>67142.857142857145</v>
      </c>
      <c r="AR14" s="116">
        <f t="shared" ref="AR14" si="10">AQ14/12</f>
        <v>5595.2380952380954</v>
      </c>
      <c r="AS14" s="123">
        <f t="shared" ref="AS14" si="11">O14+AC14+AQ14</f>
        <v>143571.42857142858</v>
      </c>
      <c r="AT14" s="34"/>
    </row>
    <row r="15" spans="1:46" s="38" customFormat="1" ht="10.5" x14ac:dyDescent="0.35">
      <c r="A15" s="23" t="str">
        <f>'Обобщенный расчет'!A10</f>
        <v>Оборудование</v>
      </c>
      <c r="B15" s="24" t="str">
        <f>CHOOSE('Исходные данные'!$O$2,'Исходные данные'!$P$2,'Исходные данные'!$P$3,'Исходные данные'!$P$4,'Исходные данные'!$P$5)</f>
        <v>USD</v>
      </c>
      <c r="C15" s="36">
        <f>C$7*C$8*'Обобщенный расчет'!$F$10</f>
        <v>714.28571428571433</v>
      </c>
      <c r="D15" s="36">
        <f>D$7*D$8*'Обобщенный расчет'!$F$10</f>
        <v>1428.5714285714287</v>
      </c>
      <c r="E15" s="36">
        <f>E$7*E$8*'Обобщенный расчет'!$F$10</f>
        <v>1428.5714285714287</v>
      </c>
      <c r="F15" s="36">
        <f>F$7*F$8*'Обобщенный расчет'!$F$10</f>
        <v>2142.8571428571427</v>
      </c>
      <c r="G15" s="36">
        <f>G$7*G$8*'Обобщенный расчет'!$F$10</f>
        <v>2857.1428571428573</v>
      </c>
      <c r="H15" s="36">
        <f>H$7*H$8*'Обобщенный расчет'!$F$10</f>
        <v>2857.1428571428573</v>
      </c>
      <c r="I15" s="36">
        <f>I$7*I$8*'Обобщенный расчет'!$F$10</f>
        <v>2857.1428571428573</v>
      </c>
      <c r="J15" s="36">
        <f>J$7*J$8*'Обобщенный расчет'!$F$10</f>
        <v>2857.1428571428573</v>
      </c>
      <c r="K15" s="36">
        <f>K$7*K$8*'Обобщенный расчет'!$F$10</f>
        <v>2857.1428571428573</v>
      </c>
      <c r="L15" s="36">
        <f>L$7*L$8*'Обобщенный расчет'!$F$10</f>
        <v>2857.1428571428573</v>
      </c>
      <c r="M15" s="36">
        <f>M$7*M$8*'Обобщенный расчет'!$F$10</f>
        <v>3571.4285714285716</v>
      </c>
      <c r="N15" s="36">
        <f>N$7*N$8*'Обобщенный расчет'!$F$10</f>
        <v>3571.4285714285716</v>
      </c>
      <c r="O15" s="53">
        <f t="shared" ref="O15:O16" si="12">SUM(C15:N15)</f>
        <v>30000.000000000004</v>
      </c>
      <c r="P15" s="53">
        <f t="shared" ref="P15:P16" si="13">O15/12</f>
        <v>2500.0000000000005</v>
      </c>
      <c r="Q15" s="36">
        <f>Q$7*Q$8*'Обобщенный расчет'!$F$10</f>
        <v>3571.4285714285716</v>
      </c>
      <c r="R15" s="36">
        <f>R$7*R$8*'Обобщенный расчет'!$F$10</f>
        <v>3571.4285714285716</v>
      </c>
      <c r="S15" s="36">
        <f>S$7*S$8*'Обобщенный расчет'!$F$10</f>
        <v>3571.4285714285716</v>
      </c>
      <c r="T15" s="36">
        <f>T$7*T$8*'Обобщенный расчет'!$F$10</f>
        <v>3571.4285714285716</v>
      </c>
      <c r="U15" s="36">
        <f>U$7*U$8*'Обобщенный расчет'!$F$10</f>
        <v>3571.4285714285716</v>
      </c>
      <c r="V15" s="36">
        <f>V$7*V$8*'Обобщенный расчет'!$F$10</f>
        <v>3571.4285714285716</v>
      </c>
      <c r="W15" s="36">
        <f>W$7*W$8*'Обобщенный расчет'!$F$10</f>
        <v>3571.4285714285716</v>
      </c>
      <c r="X15" s="36">
        <f>X$7*X$8*'Обобщенный расчет'!$F$10</f>
        <v>4285.7142857142853</v>
      </c>
      <c r="Y15" s="36">
        <f>Y$7*Y$8*'Обобщенный расчет'!$F$10</f>
        <v>4285.7142857142853</v>
      </c>
      <c r="Z15" s="36">
        <f>Z$7*Z$8*'Обобщенный расчет'!$F$10</f>
        <v>4285.7142857142853</v>
      </c>
      <c r="AA15" s="36">
        <f>AA$7*AA$8*'Обобщенный расчет'!$F$10</f>
        <v>4285.7142857142853</v>
      </c>
      <c r="AB15" s="36">
        <f>AB$7*AB$8*'Обобщенный расчет'!$F$10</f>
        <v>4285.7142857142853</v>
      </c>
      <c r="AC15" s="53">
        <f t="shared" ref="AC15:AC16" si="14">SUM(Q15:AB15)</f>
        <v>46428.57142857142</v>
      </c>
      <c r="AD15" s="53">
        <f t="shared" ref="AD15:AD16" si="15">AC15/12</f>
        <v>3869.0476190476184</v>
      </c>
      <c r="AE15" s="36">
        <f>AE$7*AE$8*'Обобщенный расчет'!$F$10</f>
        <v>4285.7142857142853</v>
      </c>
      <c r="AF15" s="36">
        <f>AF$7*AF$8*'Обобщенный расчет'!$F$10</f>
        <v>4285.7142857142853</v>
      </c>
      <c r="AG15" s="36">
        <f>AG$7*AG$8*'Обобщенный расчет'!$F$10</f>
        <v>4285.7142857142853</v>
      </c>
      <c r="AH15" s="36">
        <f>AH$7*AH$8*'Обобщенный расчет'!$F$10</f>
        <v>5000</v>
      </c>
      <c r="AI15" s="36">
        <f>AI$7*AI$8*'Обобщенный расчет'!$F$10</f>
        <v>5000</v>
      </c>
      <c r="AJ15" s="36">
        <f>AJ$7*AJ$8*'Обобщенный расчет'!$F$10</f>
        <v>5000</v>
      </c>
      <c r="AK15" s="36">
        <f>AK$7*AK$8*'Обобщенный расчет'!$F$10</f>
        <v>5714.2857142857147</v>
      </c>
      <c r="AL15" s="36">
        <f>AL$7*AL$8*'Обобщенный расчет'!$F$10</f>
        <v>5714.2857142857147</v>
      </c>
      <c r="AM15" s="36">
        <f>AM$7*AM$8*'Обобщенный расчет'!$F$10</f>
        <v>6428.5714285714294</v>
      </c>
      <c r="AN15" s="36">
        <f>AN$7*AN$8*'Обобщенный расчет'!$F$10</f>
        <v>7142.8571428571431</v>
      </c>
      <c r="AO15" s="36">
        <f>AO$7*AO$8*'Обобщенный расчет'!$F$10</f>
        <v>7142.8571428571431</v>
      </c>
      <c r="AP15" s="36">
        <f>AP$7*AP$8*'Обобщенный расчет'!$F$10</f>
        <v>7142.8571428571431</v>
      </c>
      <c r="AQ15" s="53">
        <f t="shared" ref="AQ15:AQ16" si="16">SUM(AE15:AP15)</f>
        <v>67142.857142857145</v>
      </c>
      <c r="AR15" s="53">
        <f t="shared" ref="AR15:AR16" si="17">AQ15/12</f>
        <v>5595.2380952380954</v>
      </c>
      <c r="AS15" s="123">
        <f t="shared" ref="AS15:AS16" si="18">O15+AC15+AQ15</f>
        <v>143571.42857142858</v>
      </c>
      <c r="AT15" s="37"/>
    </row>
    <row r="16" spans="1:46" s="35" customFormat="1" ht="10.5" x14ac:dyDescent="0.35">
      <c r="A16" s="61" t="str">
        <f>'Обобщенный расчет'!A11</f>
        <v>Услуги</v>
      </c>
      <c r="B16" s="21" t="str">
        <f>CHOOSE('Исходные данные'!$O$2,'Исходные данные'!$P$2,'Исходные данные'!$P$3,'Исходные данные'!$P$4,'Исходные данные'!$P$5)</f>
        <v>USD</v>
      </c>
      <c r="C16" s="33">
        <f>C$7*C$8*'Обобщенный расчет'!$F$11</f>
        <v>571.42857142857144</v>
      </c>
      <c r="D16" s="33">
        <f>D$7*D$8*'Обобщенный расчет'!$F$11</f>
        <v>1142.8571428571429</v>
      </c>
      <c r="E16" s="33">
        <f>E$7*E$8*'Обобщенный расчет'!$F$11</f>
        <v>1142.8571428571429</v>
      </c>
      <c r="F16" s="33">
        <f>F$7*F$8*'Обобщенный расчет'!$F$11</f>
        <v>1714.2857142857144</v>
      </c>
      <c r="G16" s="33">
        <f>G$7*G$8*'Обобщенный расчет'!$F$11</f>
        <v>2285.7142857142858</v>
      </c>
      <c r="H16" s="33">
        <f>H$7*H$8*'Обобщенный расчет'!$F$11</f>
        <v>2285.7142857142858</v>
      </c>
      <c r="I16" s="33">
        <f>I$7*I$8*'Обобщенный расчет'!$F$11</f>
        <v>2285.7142857142858</v>
      </c>
      <c r="J16" s="33">
        <f>J$7*J$8*'Обобщенный расчет'!$F$11</f>
        <v>2285.7142857142858</v>
      </c>
      <c r="K16" s="33">
        <f>K$7*K$8*'Обобщенный расчет'!$F$11</f>
        <v>2285.7142857142858</v>
      </c>
      <c r="L16" s="33">
        <f>L$7*L$8*'Обобщенный расчет'!$F$11</f>
        <v>2285.7142857142858</v>
      </c>
      <c r="M16" s="33">
        <f>M$7*M$8*'Обобщенный расчет'!$F$11</f>
        <v>2857.1428571428573</v>
      </c>
      <c r="N16" s="33">
        <f>N$7*N$8*'Обобщенный расчет'!$F$11</f>
        <v>2857.1428571428573</v>
      </c>
      <c r="O16" s="116">
        <f t="shared" si="12"/>
        <v>24000.000000000004</v>
      </c>
      <c r="P16" s="116">
        <f t="shared" si="13"/>
        <v>2000.0000000000002</v>
      </c>
      <c r="Q16" s="33">
        <f>Q$7*Q$8*'Обобщенный расчет'!$F$11</f>
        <v>2857.1428571428573</v>
      </c>
      <c r="R16" s="33">
        <f>R$7*R$8*'Обобщенный расчет'!$F$11</f>
        <v>2857.1428571428573</v>
      </c>
      <c r="S16" s="33">
        <f>S$7*S$8*'Обобщенный расчет'!$F$11</f>
        <v>2857.1428571428573</v>
      </c>
      <c r="T16" s="33">
        <f>T$7*T$8*'Обобщенный расчет'!$F$11</f>
        <v>2857.1428571428573</v>
      </c>
      <c r="U16" s="33">
        <f>U$7*U$8*'Обобщенный расчет'!$F$11</f>
        <v>2857.1428571428573</v>
      </c>
      <c r="V16" s="33">
        <f>V$7*V$8*'Обобщенный расчет'!$F$11</f>
        <v>2857.1428571428573</v>
      </c>
      <c r="W16" s="33">
        <f>W$7*W$8*'Обобщенный расчет'!$F$11</f>
        <v>2857.1428571428573</v>
      </c>
      <c r="X16" s="33">
        <f>X$7*X$8*'Обобщенный расчет'!$F$11</f>
        <v>3428.5714285714289</v>
      </c>
      <c r="Y16" s="33">
        <f>Y$7*Y$8*'Обобщенный расчет'!$F$11</f>
        <v>3428.5714285714289</v>
      </c>
      <c r="Z16" s="33">
        <f>Z$7*Z$8*'Обобщенный расчет'!$F$11</f>
        <v>3428.5714285714289</v>
      </c>
      <c r="AA16" s="33">
        <f>AA$7*AA$8*'Обобщенный расчет'!$F$11</f>
        <v>3428.5714285714289</v>
      </c>
      <c r="AB16" s="33">
        <f>AB$7*AB$8*'Обобщенный расчет'!$F$11</f>
        <v>3428.5714285714289</v>
      </c>
      <c r="AC16" s="116">
        <f t="shared" si="14"/>
        <v>37142.857142857145</v>
      </c>
      <c r="AD16" s="116">
        <f t="shared" si="15"/>
        <v>3095.2380952380954</v>
      </c>
      <c r="AE16" s="33">
        <f>AE$7*AE$8*'Обобщенный расчет'!$F$11</f>
        <v>3428.5714285714289</v>
      </c>
      <c r="AF16" s="33">
        <f>AF$7*AF$8*'Обобщенный расчет'!$F$11</f>
        <v>3428.5714285714289</v>
      </c>
      <c r="AG16" s="33">
        <f>AG$7*AG$8*'Обобщенный расчет'!$F$11</f>
        <v>3428.5714285714289</v>
      </c>
      <c r="AH16" s="33">
        <f>AH$7*AH$8*'Обобщенный расчет'!$F$11</f>
        <v>4000</v>
      </c>
      <c r="AI16" s="33">
        <f>AI$7*AI$8*'Обобщенный расчет'!$F$11</f>
        <v>4000</v>
      </c>
      <c r="AJ16" s="33">
        <f>AJ$7*AJ$8*'Обобщенный расчет'!$F$11</f>
        <v>4000</v>
      </c>
      <c r="AK16" s="33">
        <f>AK$7*AK$8*'Обобщенный расчет'!$F$11</f>
        <v>4571.4285714285716</v>
      </c>
      <c r="AL16" s="33">
        <f>AL$7*AL$8*'Обобщенный расчет'!$F$11</f>
        <v>4571.4285714285716</v>
      </c>
      <c r="AM16" s="33">
        <f>AM$7*AM$8*'Обобщенный расчет'!$F$11</f>
        <v>5142.8571428571431</v>
      </c>
      <c r="AN16" s="33">
        <f>AN$7*AN$8*'Обобщенный расчет'!$F$11</f>
        <v>5714.2857142857147</v>
      </c>
      <c r="AO16" s="33">
        <f>AO$7*AO$8*'Обобщенный расчет'!$F$11</f>
        <v>5714.2857142857147</v>
      </c>
      <c r="AP16" s="33">
        <f>AP$7*AP$8*'Обобщенный расчет'!$F$11</f>
        <v>5714.2857142857147</v>
      </c>
      <c r="AQ16" s="116">
        <f t="shared" si="16"/>
        <v>53714.285714285725</v>
      </c>
      <c r="AR16" s="116">
        <f t="shared" si="17"/>
        <v>4476.1904761904771</v>
      </c>
      <c r="AS16" s="123">
        <f t="shared" si="18"/>
        <v>114857.14285714287</v>
      </c>
      <c r="AT16" s="34"/>
    </row>
    <row r="17" spans="1:46" s="27" customFormat="1" ht="10.5" x14ac:dyDescent="0.35">
      <c r="A17" s="28" t="s">
        <v>3</v>
      </c>
      <c r="B17" s="29" t="str">
        <f>CHOOSE('Исходные данные'!$O$2,'Исходные данные'!$P$2,'Исходные данные'!$P$3,'Исходные данные'!$P$4,'Исходные данные'!$P$5)</f>
        <v>USD</v>
      </c>
      <c r="C17" s="101">
        <f t="shared" ref="C17:AS17" si="19">SUM(C14:C16)</f>
        <v>2000</v>
      </c>
      <c r="D17" s="101">
        <f t="shared" si="19"/>
        <v>4000</v>
      </c>
      <c r="E17" s="101">
        <f t="shared" si="19"/>
        <v>4000</v>
      </c>
      <c r="F17" s="101">
        <f t="shared" si="19"/>
        <v>6000</v>
      </c>
      <c r="G17" s="101">
        <f t="shared" si="19"/>
        <v>8000</v>
      </c>
      <c r="H17" s="101">
        <f t="shared" si="19"/>
        <v>8000</v>
      </c>
      <c r="I17" s="101">
        <f t="shared" si="19"/>
        <v>8000</v>
      </c>
      <c r="J17" s="101">
        <f t="shared" si="19"/>
        <v>8000</v>
      </c>
      <c r="K17" s="101">
        <f t="shared" si="19"/>
        <v>8000</v>
      </c>
      <c r="L17" s="101">
        <f t="shared" si="19"/>
        <v>8000</v>
      </c>
      <c r="M17" s="101">
        <f t="shared" si="19"/>
        <v>10000</v>
      </c>
      <c r="N17" s="101">
        <f t="shared" si="19"/>
        <v>10000</v>
      </c>
      <c r="O17" s="101">
        <f t="shared" si="19"/>
        <v>84000.000000000015</v>
      </c>
      <c r="P17" s="101">
        <f t="shared" si="19"/>
        <v>7000.0000000000009</v>
      </c>
      <c r="Q17" s="101">
        <f t="shared" si="19"/>
        <v>10000</v>
      </c>
      <c r="R17" s="101">
        <f t="shared" si="19"/>
        <v>10000</v>
      </c>
      <c r="S17" s="101">
        <f t="shared" si="19"/>
        <v>10000</v>
      </c>
      <c r="T17" s="101">
        <f t="shared" si="19"/>
        <v>10000</v>
      </c>
      <c r="U17" s="101">
        <f t="shared" si="19"/>
        <v>10000</v>
      </c>
      <c r="V17" s="101">
        <f t="shared" si="19"/>
        <v>10000</v>
      </c>
      <c r="W17" s="101">
        <f t="shared" si="19"/>
        <v>10000</v>
      </c>
      <c r="X17" s="101">
        <f t="shared" si="19"/>
        <v>12000</v>
      </c>
      <c r="Y17" s="101">
        <f t="shared" si="19"/>
        <v>12000</v>
      </c>
      <c r="Z17" s="101">
        <f t="shared" si="19"/>
        <v>12000</v>
      </c>
      <c r="AA17" s="101">
        <f t="shared" si="19"/>
        <v>12000</v>
      </c>
      <c r="AB17" s="101">
        <f t="shared" si="19"/>
        <v>12000</v>
      </c>
      <c r="AC17" s="101">
        <f t="shared" si="19"/>
        <v>129999.99999999999</v>
      </c>
      <c r="AD17" s="101">
        <f t="shared" si="19"/>
        <v>10833.333333333332</v>
      </c>
      <c r="AE17" s="101">
        <f t="shared" si="19"/>
        <v>12000</v>
      </c>
      <c r="AF17" s="101">
        <f t="shared" si="19"/>
        <v>12000</v>
      </c>
      <c r="AG17" s="101">
        <f t="shared" si="19"/>
        <v>12000</v>
      </c>
      <c r="AH17" s="101">
        <f t="shared" si="19"/>
        <v>14000</v>
      </c>
      <c r="AI17" s="101">
        <f t="shared" si="19"/>
        <v>14000</v>
      </c>
      <c r="AJ17" s="101">
        <f t="shared" si="19"/>
        <v>14000</v>
      </c>
      <c r="AK17" s="101">
        <f t="shared" si="19"/>
        <v>16000</v>
      </c>
      <c r="AL17" s="101">
        <f t="shared" si="19"/>
        <v>16000</v>
      </c>
      <c r="AM17" s="101">
        <f t="shared" si="19"/>
        <v>18000</v>
      </c>
      <c r="AN17" s="101">
        <f t="shared" si="19"/>
        <v>20000</v>
      </c>
      <c r="AO17" s="101">
        <f t="shared" si="19"/>
        <v>20000</v>
      </c>
      <c r="AP17" s="101">
        <f t="shared" si="19"/>
        <v>20000</v>
      </c>
      <c r="AQ17" s="101">
        <f t="shared" si="19"/>
        <v>188000</v>
      </c>
      <c r="AR17" s="101">
        <f t="shared" si="19"/>
        <v>15666.666666666668</v>
      </c>
      <c r="AS17" s="101">
        <f t="shared" si="19"/>
        <v>402000</v>
      </c>
      <c r="AT17" s="26"/>
    </row>
    <row r="18" spans="1:46" s="20" customFormat="1" ht="10.8" thickBot="1" x14ac:dyDescent="0.45">
      <c r="A18" s="30"/>
      <c r="B18" s="31"/>
      <c r="C18" s="32"/>
      <c r="D18" s="30"/>
      <c r="E18" s="30"/>
      <c r="F18" s="30"/>
      <c r="G18" s="30"/>
      <c r="H18" s="30"/>
      <c r="I18" s="30"/>
      <c r="J18" s="30"/>
      <c r="O18" s="56"/>
      <c r="P18" s="56"/>
      <c r="Q18" s="32"/>
      <c r="R18" s="30"/>
      <c r="S18" s="30"/>
      <c r="T18" s="30"/>
      <c r="U18" s="30"/>
      <c r="V18" s="30"/>
      <c r="W18" s="30"/>
      <c r="X18" s="30"/>
      <c r="AC18" s="56"/>
      <c r="AD18" s="56"/>
      <c r="AE18" s="32"/>
      <c r="AF18" s="30"/>
      <c r="AG18" s="30"/>
      <c r="AH18" s="30"/>
      <c r="AI18" s="30"/>
      <c r="AJ18" s="30"/>
      <c r="AK18" s="30"/>
      <c r="AL18" s="30"/>
      <c r="AQ18" s="56"/>
      <c r="AR18" s="56"/>
    </row>
    <row r="19" spans="1:46" s="20" customFormat="1" ht="21.6" thickTop="1" thickBot="1" x14ac:dyDescent="0.4">
      <c r="A19" s="18" t="s">
        <v>8</v>
      </c>
      <c r="B19" s="19"/>
      <c r="C19" s="19" t="str">
        <f t="shared" ref="C19:N19" si="20">C$6</f>
        <v>январь</v>
      </c>
      <c r="D19" s="19" t="str">
        <f t="shared" si="20"/>
        <v>февраль</v>
      </c>
      <c r="E19" s="19" t="str">
        <f t="shared" si="20"/>
        <v>март</v>
      </c>
      <c r="F19" s="19" t="str">
        <f t="shared" si="20"/>
        <v>апрель</v>
      </c>
      <c r="G19" s="19" t="str">
        <f t="shared" si="20"/>
        <v>май</v>
      </c>
      <c r="H19" s="19" t="str">
        <f t="shared" si="20"/>
        <v>июнь</v>
      </c>
      <c r="I19" s="19" t="str">
        <f t="shared" si="20"/>
        <v>июль</v>
      </c>
      <c r="J19" s="19" t="str">
        <f t="shared" si="20"/>
        <v>август</v>
      </c>
      <c r="K19" s="19" t="str">
        <f t="shared" si="20"/>
        <v>сентябрь</v>
      </c>
      <c r="L19" s="19" t="str">
        <f t="shared" si="20"/>
        <v>октябрь</v>
      </c>
      <c r="M19" s="19" t="str">
        <f t="shared" si="20"/>
        <v>ноябрь</v>
      </c>
      <c r="N19" s="19" t="str">
        <f t="shared" si="20"/>
        <v>декабрь</v>
      </c>
      <c r="O19" s="154" t="str">
        <f>O13</f>
        <v>Итого за 1-й год</v>
      </c>
      <c r="P19" s="154" t="str">
        <f>P13</f>
        <v>Среднемесячно за 1-й год</v>
      </c>
      <c r="Q19" s="19" t="str">
        <f t="shared" ref="Q19:AB19" si="21">Q$6</f>
        <v>январь</v>
      </c>
      <c r="R19" s="19" t="str">
        <f t="shared" si="21"/>
        <v>февраль</v>
      </c>
      <c r="S19" s="19" t="str">
        <f t="shared" si="21"/>
        <v>март</v>
      </c>
      <c r="T19" s="19" t="str">
        <f t="shared" si="21"/>
        <v>апрель</v>
      </c>
      <c r="U19" s="19" t="str">
        <f t="shared" si="21"/>
        <v>май</v>
      </c>
      <c r="V19" s="19" t="str">
        <f t="shared" si="21"/>
        <v>июнь</v>
      </c>
      <c r="W19" s="19" t="str">
        <f t="shared" si="21"/>
        <v>июль</v>
      </c>
      <c r="X19" s="19" t="str">
        <f t="shared" si="21"/>
        <v>август</v>
      </c>
      <c r="Y19" s="19" t="str">
        <f t="shared" si="21"/>
        <v>сентябрь</v>
      </c>
      <c r="Z19" s="19" t="str">
        <f t="shared" si="21"/>
        <v>октябрь</v>
      </c>
      <c r="AA19" s="19" t="str">
        <f t="shared" si="21"/>
        <v>ноябрь</v>
      </c>
      <c r="AB19" s="19" t="str">
        <f t="shared" si="21"/>
        <v>декабрь</v>
      </c>
      <c r="AC19" s="106" t="str">
        <f>AC13</f>
        <v>Итого за 2-й год</v>
      </c>
      <c r="AD19" s="106" t="str">
        <f>AD13</f>
        <v>Среднемесячно за 2-й год</v>
      </c>
      <c r="AE19" s="19" t="str">
        <f t="shared" ref="AE19:AP19" si="22">AE$6</f>
        <v>январь</v>
      </c>
      <c r="AF19" s="19" t="str">
        <f t="shared" si="22"/>
        <v>февраль</v>
      </c>
      <c r="AG19" s="19" t="str">
        <f t="shared" si="22"/>
        <v>март</v>
      </c>
      <c r="AH19" s="19" t="str">
        <f t="shared" si="22"/>
        <v>апрель</v>
      </c>
      <c r="AI19" s="19" t="str">
        <f t="shared" si="22"/>
        <v>май</v>
      </c>
      <c r="AJ19" s="19" t="str">
        <f t="shared" si="22"/>
        <v>июнь</v>
      </c>
      <c r="AK19" s="19" t="str">
        <f t="shared" si="22"/>
        <v>июль</v>
      </c>
      <c r="AL19" s="19" t="str">
        <f t="shared" si="22"/>
        <v>август</v>
      </c>
      <c r="AM19" s="19" t="str">
        <f t="shared" si="22"/>
        <v>сентябрь</v>
      </c>
      <c r="AN19" s="19" t="str">
        <f t="shared" si="22"/>
        <v>октябрь</v>
      </c>
      <c r="AO19" s="19" t="str">
        <f t="shared" si="22"/>
        <v>ноябрь</v>
      </c>
      <c r="AP19" s="19" t="str">
        <f t="shared" si="22"/>
        <v>декабрь</v>
      </c>
      <c r="AQ19" s="106" t="str">
        <f>AQ13</f>
        <v>Итого за 3-й год</v>
      </c>
      <c r="AR19" s="106" t="str">
        <f>AR13</f>
        <v>Среднемесячно за 3-й год</v>
      </c>
      <c r="AS19" s="125" t="str">
        <f>AS12</f>
        <v>Итого за три года</v>
      </c>
    </row>
    <row r="20" spans="1:46" s="35" customFormat="1" ht="10.8" thickTop="1" x14ac:dyDescent="0.35">
      <c r="A20" s="61" t="str">
        <f>A14</f>
        <v>Материалы</v>
      </c>
      <c r="B20" s="21" t="str">
        <f>CHOOSE('Исходные данные'!$O$2,'Исходные данные'!$P$2,'Исходные данные'!$P$3,'Исходные данные'!$P$4,'Исходные данные'!$P$5)</f>
        <v>USD</v>
      </c>
      <c r="C20" s="33">
        <f>C$7*C$8*'Обобщенный расчет'!$H$9</f>
        <v>214.28571428571428</v>
      </c>
      <c r="D20" s="33">
        <f>D$7*D$8*'Обобщенный расчет'!$H$9</f>
        <v>428.57142857142856</v>
      </c>
      <c r="E20" s="33">
        <f>E$7*E$8*'Обобщенный расчет'!$H$9</f>
        <v>428.57142857142856</v>
      </c>
      <c r="F20" s="33">
        <f>F$7*F$8*'Обобщенный расчет'!$H$9</f>
        <v>642.85714285714278</v>
      </c>
      <c r="G20" s="33">
        <f>G$7*G$8*'Обобщенный расчет'!$H$9</f>
        <v>857.14285714285711</v>
      </c>
      <c r="H20" s="33">
        <f>H$7*H$8*'Обобщенный расчет'!$H$9</f>
        <v>857.14285714285711</v>
      </c>
      <c r="I20" s="33">
        <f>I$7*I$8*'Обобщенный расчет'!$H$9</f>
        <v>857.14285714285711</v>
      </c>
      <c r="J20" s="33">
        <f>J$7*J$8*'Обобщенный расчет'!$H$9</f>
        <v>857.14285714285711</v>
      </c>
      <c r="K20" s="33">
        <f>K$7*K$8*'Обобщенный расчет'!$H$9</f>
        <v>857.14285714285711</v>
      </c>
      <c r="L20" s="33">
        <f>L$7*L$8*'Обобщенный расчет'!$H$9</f>
        <v>857.14285714285711</v>
      </c>
      <c r="M20" s="33">
        <f>M$7*M$8*'Обобщенный расчет'!$H$9</f>
        <v>1071.4285714285713</v>
      </c>
      <c r="N20" s="33">
        <f>N$7*N$8*'Обобщенный расчет'!$H$9</f>
        <v>1071.4285714285713</v>
      </c>
      <c r="O20" s="116">
        <f t="shared" ref="O20" si="23">SUM(C20:N20)</f>
        <v>8999.9999999999982</v>
      </c>
      <c r="P20" s="116">
        <f t="shared" ref="P20" si="24">O20/12</f>
        <v>749.99999999999989</v>
      </c>
      <c r="Q20" s="33">
        <f>Q$7*Q$8*'Обобщенный расчет'!$H$9</f>
        <v>1071.4285714285713</v>
      </c>
      <c r="R20" s="33">
        <f>R$7*R$8*'Обобщенный расчет'!$H$9</f>
        <v>1071.4285714285713</v>
      </c>
      <c r="S20" s="33">
        <f>S$7*S$8*'Обобщенный расчет'!$H$9</f>
        <v>1071.4285714285713</v>
      </c>
      <c r="T20" s="33">
        <f>T$7*T$8*'Обобщенный расчет'!$H$9</f>
        <v>1071.4285714285713</v>
      </c>
      <c r="U20" s="33">
        <f>U$7*U$8*'Обобщенный расчет'!$H$9</f>
        <v>1071.4285714285713</v>
      </c>
      <c r="V20" s="33">
        <f>V$7*V$8*'Обобщенный расчет'!$H$9</f>
        <v>1071.4285714285713</v>
      </c>
      <c r="W20" s="33">
        <f>W$7*W$8*'Обобщенный расчет'!$H$9</f>
        <v>1071.4285714285713</v>
      </c>
      <c r="X20" s="33">
        <f>X$7*X$8*'Обобщенный расчет'!$H$9</f>
        <v>1285.7142857142856</v>
      </c>
      <c r="Y20" s="33">
        <f>Y$7*Y$8*'Обобщенный расчет'!$H$9</f>
        <v>1285.7142857142856</v>
      </c>
      <c r="Z20" s="33">
        <f>Z$7*Z$8*'Обобщенный расчет'!$H$9</f>
        <v>1285.7142857142856</v>
      </c>
      <c r="AA20" s="33">
        <f>AA$7*AA$8*'Обобщенный расчет'!$H$9</f>
        <v>1285.7142857142856</v>
      </c>
      <c r="AB20" s="33">
        <f>AB$7*AB$8*'Обобщенный расчет'!$H$9</f>
        <v>1285.7142857142856</v>
      </c>
      <c r="AC20" s="116">
        <f t="shared" ref="AC20" si="25">SUM(Q20:AB20)</f>
        <v>13928.571428571431</v>
      </c>
      <c r="AD20" s="116">
        <f t="shared" ref="AD20" si="26">AC20/12</f>
        <v>1160.714285714286</v>
      </c>
      <c r="AE20" s="33">
        <f>AE$7*AE$8*'Обобщенный расчет'!$H$9</f>
        <v>1285.7142857142856</v>
      </c>
      <c r="AF20" s="33">
        <f>AF$7*AF$8*'Обобщенный расчет'!$H$9</f>
        <v>1285.7142857142856</v>
      </c>
      <c r="AG20" s="33">
        <f>AG$7*AG$8*'Обобщенный расчет'!$H$9</f>
        <v>1285.7142857142856</v>
      </c>
      <c r="AH20" s="33">
        <f>AH$7*AH$8*'Обобщенный расчет'!$H$9</f>
        <v>1499.9999999999998</v>
      </c>
      <c r="AI20" s="33">
        <f>AI$7*AI$8*'Обобщенный расчет'!$H$9</f>
        <v>1499.9999999999998</v>
      </c>
      <c r="AJ20" s="33">
        <f>AJ$7*AJ$8*'Обобщенный расчет'!$H$9</f>
        <v>1499.9999999999998</v>
      </c>
      <c r="AK20" s="33">
        <f>AK$7*AK$8*'Обобщенный расчет'!$H$9</f>
        <v>1714.2857142857142</v>
      </c>
      <c r="AL20" s="33">
        <f>AL$7*AL$8*'Обобщенный расчет'!$H$9</f>
        <v>1714.2857142857142</v>
      </c>
      <c r="AM20" s="33">
        <f>AM$7*AM$8*'Обобщенный расчет'!$H$9</f>
        <v>1928.5714285714284</v>
      </c>
      <c r="AN20" s="33">
        <f>AN$7*AN$8*'Обобщенный расчет'!$H$9</f>
        <v>2142.8571428571427</v>
      </c>
      <c r="AO20" s="33">
        <f>AO$7*AO$8*'Обобщенный расчет'!$H$9</f>
        <v>2142.8571428571427</v>
      </c>
      <c r="AP20" s="33">
        <f>AP$7*AP$8*'Обобщенный расчет'!$H$9</f>
        <v>2142.8571428571427</v>
      </c>
      <c r="AQ20" s="116">
        <f t="shared" ref="AQ20" si="27">SUM(AE20:AP20)</f>
        <v>20142.857142857141</v>
      </c>
      <c r="AR20" s="116">
        <f t="shared" ref="AR20" si="28">AQ20/12</f>
        <v>1678.5714285714284</v>
      </c>
      <c r="AS20" s="123">
        <f t="shared" ref="AS20" si="29">O20+AC20+AQ20</f>
        <v>43071.428571428565</v>
      </c>
      <c r="AT20" s="34"/>
    </row>
    <row r="21" spans="1:46" s="38" customFormat="1" ht="10.5" x14ac:dyDescent="0.35">
      <c r="A21" s="23" t="str">
        <f>A15</f>
        <v>Оборудование</v>
      </c>
      <c r="B21" s="24" t="str">
        <f>CHOOSE('Исходные данные'!$O$2,'Исходные данные'!$P$2,'Исходные данные'!$P$3,'Исходные данные'!$P$4,'Исходные данные'!$P$5)</f>
        <v>USD</v>
      </c>
      <c r="C21" s="36">
        <f>C$7*C$8*'Обобщенный расчет'!$H$10</f>
        <v>214.28571428571428</v>
      </c>
      <c r="D21" s="36">
        <f>D$7*D$8*'Обобщенный расчет'!$H$10</f>
        <v>428.57142857142856</v>
      </c>
      <c r="E21" s="36">
        <f>E$7*E$8*'Обобщенный расчет'!$H$10</f>
        <v>428.57142857142856</v>
      </c>
      <c r="F21" s="36">
        <f>F$7*F$8*'Обобщенный расчет'!$H$10</f>
        <v>642.85714285714278</v>
      </c>
      <c r="G21" s="36">
        <f>G$7*G$8*'Обобщенный расчет'!$H$10</f>
        <v>857.14285714285711</v>
      </c>
      <c r="H21" s="36">
        <f>H$7*H$8*'Обобщенный расчет'!$H$10</f>
        <v>857.14285714285711</v>
      </c>
      <c r="I21" s="36">
        <f>I$7*I$8*'Обобщенный расчет'!$H$10</f>
        <v>857.14285714285711</v>
      </c>
      <c r="J21" s="36">
        <f>J$7*J$8*'Обобщенный расчет'!$H$10</f>
        <v>857.14285714285711</v>
      </c>
      <c r="K21" s="36">
        <f>K$7*K$8*'Обобщенный расчет'!$H$10</f>
        <v>857.14285714285711</v>
      </c>
      <c r="L21" s="36">
        <f>L$7*L$8*'Обобщенный расчет'!$H$10</f>
        <v>857.14285714285711</v>
      </c>
      <c r="M21" s="36">
        <f>M$7*M$8*'Обобщенный расчет'!$H$10</f>
        <v>1071.4285714285713</v>
      </c>
      <c r="N21" s="36">
        <f>N$7*N$8*'Обобщенный расчет'!$H$10</f>
        <v>1071.4285714285713</v>
      </c>
      <c r="O21" s="53">
        <f t="shared" ref="O21:O22" si="30">SUM(C21:N21)</f>
        <v>8999.9999999999982</v>
      </c>
      <c r="P21" s="53">
        <f t="shared" ref="P21:P22" si="31">O21/12</f>
        <v>749.99999999999989</v>
      </c>
      <c r="Q21" s="36">
        <f>Q$7*Q$8*'Обобщенный расчет'!$H$10</f>
        <v>1071.4285714285713</v>
      </c>
      <c r="R21" s="36">
        <f>R$7*R$8*'Обобщенный расчет'!$H$10</f>
        <v>1071.4285714285713</v>
      </c>
      <c r="S21" s="36">
        <f>S$7*S$8*'Обобщенный расчет'!$H$10</f>
        <v>1071.4285714285713</v>
      </c>
      <c r="T21" s="36">
        <f>T$7*T$8*'Обобщенный расчет'!$H$10</f>
        <v>1071.4285714285713</v>
      </c>
      <c r="U21" s="36">
        <f>U$7*U$8*'Обобщенный расчет'!$H$10</f>
        <v>1071.4285714285713</v>
      </c>
      <c r="V21" s="36">
        <f>V$7*V$8*'Обобщенный расчет'!$H$10</f>
        <v>1071.4285714285713</v>
      </c>
      <c r="W21" s="36">
        <f>W$7*W$8*'Обобщенный расчет'!$H$10</f>
        <v>1071.4285714285713</v>
      </c>
      <c r="X21" s="36">
        <f>X$7*X$8*'Обобщенный расчет'!$H$10</f>
        <v>1285.7142857142856</v>
      </c>
      <c r="Y21" s="36">
        <f>Y$7*Y$8*'Обобщенный расчет'!$H$10</f>
        <v>1285.7142857142856</v>
      </c>
      <c r="Z21" s="36">
        <f>Z$7*Z$8*'Обобщенный расчет'!$H$10</f>
        <v>1285.7142857142856</v>
      </c>
      <c r="AA21" s="36">
        <f>AA$7*AA$8*'Обобщенный расчет'!$H$10</f>
        <v>1285.7142857142856</v>
      </c>
      <c r="AB21" s="36">
        <f>AB$7*AB$8*'Обобщенный расчет'!$H$10</f>
        <v>1285.7142857142856</v>
      </c>
      <c r="AC21" s="53">
        <f t="shared" ref="AC21:AC22" si="32">SUM(Q21:AB21)</f>
        <v>13928.571428571431</v>
      </c>
      <c r="AD21" s="53">
        <f t="shared" ref="AD21:AD22" si="33">AC21/12</f>
        <v>1160.714285714286</v>
      </c>
      <c r="AE21" s="36">
        <f>AE$7*AE$8*'Обобщенный расчет'!$H$10</f>
        <v>1285.7142857142856</v>
      </c>
      <c r="AF21" s="36">
        <f>AF$7*AF$8*'Обобщенный расчет'!$H$10</f>
        <v>1285.7142857142856</v>
      </c>
      <c r="AG21" s="36">
        <f>AG$7*AG$8*'Обобщенный расчет'!$H$10</f>
        <v>1285.7142857142856</v>
      </c>
      <c r="AH21" s="36">
        <f>AH$7*AH$8*'Обобщенный расчет'!$H$10</f>
        <v>1499.9999999999998</v>
      </c>
      <c r="AI21" s="36">
        <f>AI$7*AI$8*'Обобщенный расчет'!$H$10</f>
        <v>1499.9999999999998</v>
      </c>
      <c r="AJ21" s="36">
        <f>AJ$7*AJ$8*'Обобщенный расчет'!$H$10</f>
        <v>1499.9999999999998</v>
      </c>
      <c r="AK21" s="36">
        <f>AK$7*AK$8*'Обобщенный расчет'!$H$10</f>
        <v>1714.2857142857142</v>
      </c>
      <c r="AL21" s="36">
        <f>AL$7*AL$8*'Обобщенный расчет'!$H$10</f>
        <v>1714.2857142857142</v>
      </c>
      <c r="AM21" s="36">
        <f>AM$7*AM$8*'Обобщенный расчет'!$H$10</f>
        <v>1928.5714285714284</v>
      </c>
      <c r="AN21" s="36">
        <f>AN$7*AN$8*'Обобщенный расчет'!$H$10</f>
        <v>2142.8571428571427</v>
      </c>
      <c r="AO21" s="36">
        <f>AO$7*AO$8*'Обобщенный расчет'!$H$10</f>
        <v>2142.8571428571427</v>
      </c>
      <c r="AP21" s="36">
        <f>AP$7*AP$8*'Обобщенный расчет'!$H$10</f>
        <v>2142.8571428571427</v>
      </c>
      <c r="AQ21" s="53">
        <f t="shared" ref="AQ21:AQ22" si="34">SUM(AE21:AP21)</f>
        <v>20142.857142857141</v>
      </c>
      <c r="AR21" s="53">
        <f t="shared" ref="AR21:AR22" si="35">AQ21/12</f>
        <v>1678.5714285714284</v>
      </c>
      <c r="AS21" s="123">
        <f t="shared" ref="AS21:AS22" si="36">O21+AC21+AQ21</f>
        <v>43071.428571428565</v>
      </c>
      <c r="AT21" s="37"/>
    </row>
    <row r="22" spans="1:46" s="35" customFormat="1" ht="10.5" x14ac:dyDescent="0.35">
      <c r="A22" s="61" t="str">
        <f>A16</f>
        <v>Услуги</v>
      </c>
      <c r="B22" s="21" t="str">
        <f>CHOOSE('Исходные данные'!$O$2,'Исходные данные'!$P$2,'Исходные данные'!$P$3,'Исходные данные'!$P$4,'Исходные данные'!$P$5)</f>
        <v>USD</v>
      </c>
      <c r="C22" s="33">
        <f>C$7*C$8*'Обобщенный расчет'!$H$11</f>
        <v>114.28571428571429</v>
      </c>
      <c r="D22" s="33">
        <f>D$7*D$8*'Обобщенный расчет'!$H$11</f>
        <v>228.57142857142858</v>
      </c>
      <c r="E22" s="33">
        <f>E$7*E$8*'Обобщенный расчет'!$H$11</f>
        <v>228.57142857142858</v>
      </c>
      <c r="F22" s="33">
        <f>F$7*F$8*'Обобщенный расчет'!$H$11</f>
        <v>342.85714285714283</v>
      </c>
      <c r="G22" s="33">
        <f>G$7*G$8*'Обобщенный расчет'!$H$11</f>
        <v>457.14285714285717</v>
      </c>
      <c r="H22" s="33">
        <f>H$7*H$8*'Обобщенный расчет'!$H$11</f>
        <v>457.14285714285717</v>
      </c>
      <c r="I22" s="33">
        <f>I$7*I$8*'Обобщенный расчет'!$H$11</f>
        <v>457.14285714285717</v>
      </c>
      <c r="J22" s="33">
        <f>J$7*J$8*'Обобщенный расчет'!$H$11</f>
        <v>457.14285714285717</v>
      </c>
      <c r="K22" s="33">
        <f>K$7*K$8*'Обобщенный расчет'!$H$11</f>
        <v>457.14285714285717</v>
      </c>
      <c r="L22" s="33">
        <f>L$7*L$8*'Обобщенный расчет'!$H$11</f>
        <v>457.14285714285717</v>
      </c>
      <c r="M22" s="33">
        <f>M$7*M$8*'Обобщенный расчет'!$H$11</f>
        <v>571.42857142857144</v>
      </c>
      <c r="N22" s="33">
        <f>N$7*N$8*'Обобщенный расчет'!$H$11</f>
        <v>571.42857142857144</v>
      </c>
      <c r="O22" s="116">
        <f t="shared" si="30"/>
        <v>4800.0000000000009</v>
      </c>
      <c r="P22" s="116">
        <f t="shared" si="31"/>
        <v>400.00000000000006</v>
      </c>
      <c r="Q22" s="33">
        <f>Q$7*Q$8*'Обобщенный расчет'!$H$11</f>
        <v>571.42857142857144</v>
      </c>
      <c r="R22" s="33">
        <f>R$7*R$8*'Обобщенный расчет'!$H$11</f>
        <v>571.42857142857144</v>
      </c>
      <c r="S22" s="33">
        <f>S$7*S$8*'Обобщенный расчет'!$H$11</f>
        <v>571.42857142857144</v>
      </c>
      <c r="T22" s="33">
        <f>T$7*T$8*'Обобщенный расчет'!$H$11</f>
        <v>571.42857142857144</v>
      </c>
      <c r="U22" s="33">
        <f>U$7*U$8*'Обобщенный расчет'!$H$11</f>
        <v>571.42857142857144</v>
      </c>
      <c r="V22" s="33">
        <f>V$7*V$8*'Обобщенный расчет'!$H$11</f>
        <v>571.42857142857144</v>
      </c>
      <c r="W22" s="33">
        <f>W$7*W$8*'Обобщенный расчет'!$H$11</f>
        <v>571.42857142857144</v>
      </c>
      <c r="X22" s="33">
        <f>X$7*X$8*'Обобщенный расчет'!$H$11</f>
        <v>685.71428571428567</v>
      </c>
      <c r="Y22" s="33">
        <f>Y$7*Y$8*'Обобщенный расчет'!$H$11</f>
        <v>685.71428571428567</v>
      </c>
      <c r="Z22" s="33">
        <f>Z$7*Z$8*'Обобщенный расчет'!$H$11</f>
        <v>685.71428571428567</v>
      </c>
      <c r="AA22" s="33">
        <f>AA$7*AA$8*'Обобщенный расчет'!$H$11</f>
        <v>685.71428571428567</v>
      </c>
      <c r="AB22" s="33">
        <f>AB$7*AB$8*'Обобщенный расчет'!$H$11</f>
        <v>685.71428571428567</v>
      </c>
      <c r="AC22" s="116">
        <f t="shared" si="32"/>
        <v>7428.5714285714275</v>
      </c>
      <c r="AD22" s="116">
        <f t="shared" si="33"/>
        <v>619.04761904761892</v>
      </c>
      <c r="AE22" s="33">
        <f>AE$7*AE$8*'Обобщенный расчет'!$H$11</f>
        <v>685.71428571428567</v>
      </c>
      <c r="AF22" s="33">
        <f>AF$7*AF$8*'Обобщенный расчет'!$H$11</f>
        <v>685.71428571428567</v>
      </c>
      <c r="AG22" s="33">
        <f>AG$7*AG$8*'Обобщенный расчет'!$H$11</f>
        <v>685.71428571428567</v>
      </c>
      <c r="AH22" s="33">
        <f>AH$7*AH$8*'Обобщенный расчет'!$H$11</f>
        <v>800</v>
      </c>
      <c r="AI22" s="33">
        <f>AI$7*AI$8*'Обобщенный расчет'!$H$11</f>
        <v>800</v>
      </c>
      <c r="AJ22" s="33">
        <f>AJ$7*AJ$8*'Обобщенный расчет'!$H$11</f>
        <v>800</v>
      </c>
      <c r="AK22" s="33">
        <f>AK$7*AK$8*'Обобщенный расчет'!$H$11</f>
        <v>914.28571428571433</v>
      </c>
      <c r="AL22" s="33">
        <f>AL$7*AL$8*'Обобщенный расчет'!$H$11</f>
        <v>914.28571428571433</v>
      </c>
      <c r="AM22" s="33">
        <f>AM$7*AM$8*'Обобщенный расчет'!$H$11</f>
        <v>1028.5714285714287</v>
      </c>
      <c r="AN22" s="33">
        <f>AN$7*AN$8*'Обобщенный расчет'!$H$11</f>
        <v>1142.8571428571429</v>
      </c>
      <c r="AO22" s="33">
        <f>AO$7*AO$8*'Обобщенный расчет'!$H$11</f>
        <v>1142.8571428571429</v>
      </c>
      <c r="AP22" s="33">
        <f>AP$7*AP$8*'Обобщенный расчет'!$H$11</f>
        <v>1142.8571428571429</v>
      </c>
      <c r="AQ22" s="116">
        <f t="shared" si="34"/>
        <v>10742.857142857143</v>
      </c>
      <c r="AR22" s="116">
        <f t="shared" si="35"/>
        <v>895.2380952380953</v>
      </c>
      <c r="AS22" s="123">
        <f t="shared" si="36"/>
        <v>22971.428571428572</v>
      </c>
      <c r="AT22" s="34"/>
    </row>
    <row r="23" spans="1:46" s="27" customFormat="1" ht="10.5" x14ac:dyDescent="0.35">
      <c r="A23" s="28" t="s">
        <v>3</v>
      </c>
      <c r="B23" s="29" t="str">
        <f>CHOOSE('Исходные данные'!$O$2,'Исходные данные'!$P$2,'Исходные данные'!$P$3,'Исходные данные'!$P$4,'Исходные данные'!$P$5)</f>
        <v>USD</v>
      </c>
      <c r="C23" s="101">
        <f t="shared" ref="C23:AS23" si="37">SUM(C20:C22)</f>
        <v>542.85714285714289</v>
      </c>
      <c r="D23" s="101">
        <f t="shared" si="37"/>
        <v>1085.7142857142858</v>
      </c>
      <c r="E23" s="101">
        <f t="shared" si="37"/>
        <v>1085.7142857142858</v>
      </c>
      <c r="F23" s="101">
        <f t="shared" si="37"/>
        <v>1628.5714285714284</v>
      </c>
      <c r="G23" s="101">
        <f t="shared" si="37"/>
        <v>2171.4285714285716</v>
      </c>
      <c r="H23" s="101">
        <f t="shared" si="37"/>
        <v>2171.4285714285716</v>
      </c>
      <c r="I23" s="101">
        <f t="shared" si="37"/>
        <v>2171.4285714285716</v>
      </c>
      <c r="J23" s="101">
        <f t="shared" si="37"/>
        <v>2171.4285714285716</v>
      </c>
      <c r="K23" s="101">
        <f t="shared" si="37"/>
        <v>2171.4285714285716</v>
      </c>
      <c r="L23" s="101">
        <f t="shared" si="37"/>
        <v>2171.4285714285716</v>
      </c>
      <c r="M23" s="101">
        <f t="shared" si="37"/>
        <v>2714.2857142857142</v>
      </c>
      <c r="N23" s="101">
        <f t="shared" si="37"/>
        <v>2714.2857142857142</v>
      </c>
      <c r="O23" s="101">
        <f t="shared" si="37"/>
        <v>22799.999999999996</v>
      </c>
      <c r="P23" s="101">
        <f t="shared" si="37"/>
        <v>1899.9999999999998</v>
      </c>
      <c r="Q23" s="101">
        <f t="shared" si="37"/>
        <v>2714.2857142857142</v>
      </c>
      <c r="R23" s="101">
        <f t="shared" si="37"/>
        <v>2714.2857142857142</v>
      </c>
      <c r="S23" s="101">
        <f t="shared" si="37"/>
        <v>2714.2857142857142</v>
      </c>
      <c r="T23" s="101">
        <f t="shared" si="37"/>
        <v>2714.2857142857142</v>
      </c>
      <c r="U23" s="101">
        <f t="shared" si="37"/>
        <v>2714.2857142857142</v>
      </c>
      <c r="V23" s="101">
        <f t="shared" si="37"/>
        <v>2714.2857142857142</v>
      </c>
      <c r="W23" s="101">
        <f t="shared" si="37"/>
        <v>2714.2857142857142</v>
      </c>
      <c r="X23" s="101">
        <f t="shared" si="37"/>
        <v>3257.1428571428569</v>
      </c>
      <c r="Y23" s="101">
        <f t="shared" si="37"/>
        <v>3257.1428571428569</v>
      </c>
      <c r="Z23" s="101">
        <f t="shared" si="37"/>
        <v>3257.1428571428569</v>
      </c>
      <c r="AA23" s="101">
        <f t="shared" si="37"/>
        <v>3257.1428571428569</v>
      </c>
      <c r="AB23" s="101">
        <f t="shared" si="37"/>
        <v>3257.1428571428569</v>
      </c>
      <c r="AC23" s="101">
        <f t="shared" si="37"/>
        <v>35285.71428571429</v>
      </c>
      <c r="AD23" s="101">
        <f t="shared" si="37"/>
        <v>2940.4761904761908</v>
      </c>
      <c r="AE23" s="101">
        <f t="shared" si="37"/>
        <v>3257.1428571428569</v>
      </c>
      <c r="AF23" s="101">
        <f t="shared" si="37"/>
        <v>3257.1428571428569</v>
      </c>
      <c r="AG23" s="101">
        <f t="shared" si="37"/>
        <v>3257.1428571428569</v>
      </c>
      <c r="AH23" s="101">
        <f t="shared" si="37"/>
        <v>3799.9999999999995</v>
      </c>
      <c r="AI23" s="101">
        <f t="shared" si="37"/>
        <v>3799.9999999999995</v>
      </c>
      <c r="AJ23" s="101">
        <f t="shared" si="37"/>
        <v>3799.9999999999995</v>
      </c>
      <c r="AK23" s="101">
        <f t="shared" si="37"/>
        <v>4342.8571428571431</v>
      </c>
      <c r="AL23" s="101">
        <f t="shared" si="37"/>
        <v>4342.8571428571431</v>
      </c>
      <c r="AM23" s="101">
        <f t="shared" si="37"/>
        <v>4885.7142857142853</v>
      </c>
      <c r="AN23" s="101">
        <f t="shared" si="37"/>
        <v>5428.5714285714284</v>
      </c>
      <c r="AO23" s="101">
        <f t="shared" si="37"/>
        <v>5428.5714285714284</v>
      </c>
      <c r="AP23" s="101">
        <f t="shared" si="37"/>
        <v>5428.5714285714284</v>
      </c>
      <c r="AQ23" s="101">
        <f t="shared" si="37"/>
        <v>51028.571428571428</v>
      </c>
      <c r="AR23" s="101">
        <f t="shared" si="37"/>
        <v>4252.3809523809523</v>
      </c>
      <c r="AS23" s="101">
        <f t="shared" si="37"/>
        <v>109114.28571428571</v>
      </c>
      <c r="AT23" s="26"/>
    </row>
    <row r="24" spans="1:46" s="27" customFormat="1" ht="10.8" thickBot="1" x14ac:dyDescent="0.4">
      <c r="A24" s="186"/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118"/>
      <c r="P24" s="118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118"/>
      <c r="AD24" s="118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118"/>
      <c r="AR24" s="118"/>
      <c r="AS24" s="22"/>
      <c r="AT24" s="26"/>
    </row>
    <row r="25" spans="1:46" s="13" customFormat="1" ht="21.6" thickTop="1" thickBot="1" x14ac:dyDescent="0.4">
      <c r="A25" s="14" t="s">
        <v>97</v>
      </c>
      <c r="B25" s="15"/>
      <c r="C25" s="19" t="str">
        <f t="shared" ref="C25:N25" si="38">C$6</f>
        <v>январь</v>
      </c>
      <c r="D25" s="19" t="str">
        <f t="shared" si="38"/>
        <v>февраль</v>
      </c>
      <c r="E25" s="19" t="str">
        <f t="shared" si="38"/>
        <v>март</v>
      </c>
      <c r="F25" s="19" t="str">
        <f t="shared" si="38"/>
        <v>апрель</v>
      </c>
      <c r="G25" s="19" t="str">
        <f t="shared" si="38"/>
        <v>май</v>
      </c>
      <c r="H25" s="19" t="str">
        <f t="shared" si="38"/>
        <v>июнь</v>
      </c>
      <c r="I25" s="19" t="str">
        <f t="shared" si="38"/>
        <v>июль</v>
      </c>
      <c r="J25" s="19" t="str">
        <f t="shared" si="38"/>
        <v>август</v>
      </c>
      <c r="K25" s="19" t="str">
        <f t="shared" si="38"/>
        <v>сентябрь</v>
      </c>
      <c r="L25" s="19" t="str">
        <f t="shared" si="38"/>
        <v>октябрь</v>
      </c>
      <c r="M25" s="19" t="str">
        <f t="shared" si="38"/>
        <v>ноябрь</v>
      </c>
      <c r="N25" s="19" t="str">
        <f t="shared" si="38"/>
        <v>декабрь</v>
      </c>
      <c r="O25" s="117" t="str">
        <f>O19</f>
        <v>Итого за 1-й год</v>
      </c>
      <c r="P25" s="117" t="str">
        <f>P19</f>
        <v>Среднемесячно за 1-й год</v>
      </c>
      <c r="Q25" s="19" t="str">
        <f t="shared" ref="Q25:AB25" si="39">Q$6</f>
        <v>январь</v>
      </c>
      <c r="R25" s="19" t="str">
        <f t="shared" si="39"/>
        <v>февраль</v>
      </c>
      <c r="S25" s="19" t="str">
        <f t="shared" si="39"/>
        <v>март</v>
      </c>
      <c r="T25" s="19" t="str">
        <f t="shared" si="39"/>
        <v>апрель</v>
      </c>
      <c r="U25" s="19" t="str">
        <f t="shared" si="39"/>
        <v>май</v>
      </c>
      <c r="V25" s="19" t="str">
        <f t="shared" si="39"/>
        <v>июнь</v>
      </c>
      <c r="W25" s="19" t="str">
        <f t="shared" si="39"/>
        <v>июль</v>
      </c>
      <c r="X25" s="19" t="str">
        <f t="shared" si="39"/>
        <v>август</v>
      </c>
      <c r="Y25" s="19" t="str">
        <f t="shared" si="39"/>
        <v>сентябрь</v>
      </c>
      <c r="Z25" s="19" t="str">
        <f t="shared" si="39"/>
        <v>октябрь</v>
      </c>
      <c r="AA25" s="19" t="str">
        <f t="shared" si="39"/>
        <v>ноябрь</v>
      </c>
      <c r="AB25" s="19" t="str">
        <f t="shared" si="39"/>
        <v>декабрь</v>
      </c>
      <c r="AC25" s="117" t="str">
        <f>AC19</f>
        <v>Итого за 2-й год</v>
      </c>
      <c r="AD25" s="117" t="str">
        <f>AD19</f>
        <v>Среднемесячно за 2-й год</v>
      </c>
      <c r="AE25" s="19" t="str">
        <f t="shared" ref="AE25:AP25" si="40">AE$6</f>
        <v>январь</v>
      </c>
      <c r="AF25" s="19" t="str">
        <f t="shared" si="40"/>
        <v>февраль</v>
      </c>
      <c r="AG25" s="19" t="str">
        <f t="shared" si="40"/>
        <v>март</v>
      </c>
      <c r="AH25" s="19" t="str">
        <f t="shared" si="40"/>
        <v>апрель</v>
      </c>
      <c r="AI25" s="19" t="str">
        <f t="shared" si="40"/>
        <v>май</v>
      </c>
      <c r="AJ25" s="19" t="str">
        <f t="shared" si="40"/>
        <v>июнь</v>
      </c>
      <c r="AK25" s="19" t="str">
        <f t="shared" si="40"/>
        <v>июль</v>
      </c>
      <c r="AL25" s="19" t="str">
        <f t="shared" si="40"/>
        <v>август</v>
      </c>
      <c r="AM25" s="19" t="str">
        <f t="shared" si="40"/>
        <v>сентябрь</v>
      </c>
      <c r="AN25" s="19" t="str">
        <f t="shared" si="40"/>
        <v>октябрь</v>
      </c>
      <c r="AO25" s="19" t="str">
        <f t="shared" si="40"/>
        <v>ноябрь</v>
      </c>
      <c r="AP25" s="19" t="str">
        <f t="shared" si="40"/>
        <v>декабрь</v>
      </c>
      <c r="AQ25" s="117" t="str">
        <f>AQ19</f>
        <v>Итого за 3-й год</v>
      </c>
      <c r="AR25" s="117" t="str">
        <f>AR19</f>
        <v>Среднемесячно за 3-й год</v>
      </c>
      <c r="AS25" s="126" t="str">
        <f>AS19</f>
        <v>Итого за три года</v>
      </c>
    </row>
    <row r="26" spans="1:46" s="35" customFormat="1" ht="10.8" thickTop="1" x14ac:dyDescent="0.35">
      <c r="A26" s="61" t="str">
        <f>'Обобщенный расчет'!B16</f>
        <v>Ремонт помещения</v>
      </c>
      <c r="B26" s="21" t="str">
        <f>CHOOSE('Исходные данные'!$O$2,'Исходные данные'!$P$2,'Исходные данные'!$P$3,'Исходные данные'!$P$4,'Исходные данные'!$P$5)</f>
        <v>USD</v>
      </c>
      <c r="C26" s="33">
        <f>'Обобщенный расчет'!G16</f>
        <v>0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116">
        <f>SUM(C26:N26)</f>
        <v>0</v>
      </c>
      <c r="P26" s="116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116">
        <f t="shared" ref="AC26:AC36" si="41">SUM(Q26:AB26)</f>
        <v>0</v>
      </c>
      <c r="AD26" s="116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116">
        <f t="shared" ref="AQ26:AQ36" si="42">SUM(AE26:AP26)</f>
        <v>0</v>
      </c>
      <c r="AR26" s="116"/>
      <c r="AS26" s="123">
        <f t="shared" ref="AS26:AS36" si="43">O26+AC26+AQ26</f>
        <v>0</v>
      </c>
      <c r="AT26" s="34"/>
    </row>
    <row r="27" spans="1:46" s="38" customFormat="1" ht="10.5" x14ac:dyDescent="0.35">
      <c r="A27" s="62" t="str">
        <f>'Обобщенный расчет'!B17</f>
        <v>Мебель</v>
      </c>
      <c r="B27" s="24" t="str">
        <f>CHOOSE('Исходные данные'!$O$2,'Исходные данные'!$P$2,'Исходные данные'!$P$3,'Исходные данные'!$P$4,'Исходные данные'!$P$5)</f>
        <v>USD</v>
      </c>
      <c r="C27" s="36">
        <f>'Обобщенный расчет'!G17</f>
        <v>357.14285714285717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53">
        <f t="shared" ref="O27:O35" si="44">SUM(C27:N27)</f>
        <v>357.14285714285717</v>
      </c>
      <c r="P27" s="53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53">
        <f t="shared" ref="AC27:AC35" si="45">SUM(Q27:AB27)</f>
        <v>0</v>
      </c>
      <c r="AD27" s="53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53">
        <f t="shared" ref="AQ27:AQ35" si="46">SUM(AE27:AP27)</f>
        <v>0</v>
      </c>
      <c r="AR27" s="53"/>
      <c r="AS27" s="123">
        <f t="shared" ref="AS27:AS35" si="47">O27+AC27+AQ27</f>
        <v>357.14285714285717</v>
      </c>
      <c r="AT27" s="37"/>
    </row>
    <row r="28" spans="1:46" s="35" customFormat="1" ht="10.5" x14ac:dyDescent="0.35">
      <c r="A28" s="61" t="str">
        <f>'Обобщенный расчет'!B18</f>
        <v>Оборудование</v>
      </c>
      <c r="B28" s="21" t="str">
        <f>CHOOSE('Исходные данные'!$O$2,'Исходные данные'!$P$2,'Исходные данные'!$P$3,'Исходные данные'!$P$4,'Исходные данные'!$P$5)</f>
        <v>USD</v>
      </c>
      <c r="C28" s="33">
        <f>'Обобщенный расчет'!G18</f>
        <v>14500</v>
      </c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116">
        <f t="shared" ref="O28" si="48">SUM(C28:N28)</f>
        <v>14500</v>
      </c>
      <c r="P28" s="116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116">
        <f t="shared" ref="AC28" si="49">SUM(Q28:AB28)</f>
        <v>0</v>
      </c>
      <c r="AD28" s="116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116">
        <f t="shared" ref="AQ28" si="50">SUM(AE28:AP28)</f>
        <v>0</v>
      </c>
      <c r="AR28" s="116"/>
      <c r="AS28" s="123">
        <f t="shared" ref="AS28" si="51">O28+AC28+AQ28</f>
        <v>14500</v>
      </c>
      <c r="AT28" s="34"/>
    </row>
    <row r="29" spans="1:46" s="38" customFormat="1" ht="10.5" x14ac:dyDescent="0.35">
      <c r="A29" s="62" t="str">
        <f>'Обобщенный расчет'!B19</f>
        <v>Складское оборудование</v>
      </c>
      <c r="B29" s="24" t="str">
        <f>CHOOSE('Исходные данные'!$O$2,'Исходные данные'!$P$2,'Исходные данные'!$P$3,'Исходные данные'!$P$4,'Исходные данные'!$P$5)</f>
        <v>USD</v>
      </c>
      <c r="C29" s="36">
        <f>'Обобщенный расчет'!G19</f>
        <v>357.14285714285717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53">
        <f>SUM(C29:N29)</f>
        <v>357.14285714285717</v>
      </c>
      <c r="P29" s="53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53">
        <f t="shared" si="45"/>
        <v>0</v>
      </c>
      <c r="AD29" s="53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53">
        <f t="shared" si="46"/>
        <v>0</v>
      </c>
      <c r="AR29" s="53"/>
      <c r="AS29" s="123">
        <f t="shared" si="47"/>
        <v>357.14285714285717</v>
      </c>
      <c r="AT29" s="37"/>
    </row>
    <row r="30" spans="1:46" s="35" customFormat="1" ht="10.5" x14ac:dyDescent="0.35">
      <c r="A30" s="61" t="str">
        <f>'Обобщенный расчет'!B20</f>
        <v>Компьютеры</v>
      </c>
      <c r="B30" s="21" t="str">
        <f>CHOOSE('Исходные данные'!$O$2,'Исходные данные'!$P$2,'Исходные данные'!$P$3,'Исходные данные'!$P$4,'Исходные данные'!$P$5)</f>
        <v>USD</v>
      </c>
      <c r="C30" s="33">
        <f>'Обобщенный расчет'!G20</f>
        <v>357.14285714285717</v>
      </c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116">
        <f t="shared" ref="O30" si="52">SUM(C30:N30)</f>
        <v>357.14285714285717</v>
      </c>
      <c r="P30" s="116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116">
        <f t="shared" ref="AC30" si="53">SUM(Q30:AB30)</f>
        <v>0</v>
      </c>
      <c r="AD30" s="116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116">
        <f t="shared" ref="AQ30" si="54">SUM(AE30:AP30)</f>
        <v>0</v>
      </c>
      <c r="AR30" s="116"/>
      <c r="AS30" s="123">
        <f t="shared" ref="AS30" si="55">O30+AC30+AQ30</f>
        <v>357.14285714285717</v>
      </c>
      <c r="AT30" s="34"/>
    </row>
    <row r="31" spans="1:46" s="38" customFormat="1" ht="10.5" x14ac:dyDescent="0.35">
      <c r="A31" s="62" t="str">
        <f>'Обобщенный расчет'!B21</f>
        <v>Видеонаблюдение</v>
      </c>
      <c r="B31" s="24" t="str">
        <f>CHOOSE('Исходные данные'!$O$2,'Исходные данные'!$P$2,'Исходные данные'!$P$3,'Исходные данные'!$P$4,'Исходные данные'!$P$5)</f>
        <v>USD</v>
      </c>
      <c r="C31" s="36">
        <f>'Обобщенный расчет'!G21</f>
        <v>0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53">
        <f t="shared" ref="O31" si="56">SUM(C31:N31)</f>
        <v>0</v>
      </c>
      <c r="P31" s="53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53">
        <f t="shared" si="45"/>
        <v>0</v>
      </c>
      <c r="AD31" s="53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53">
        <f t="shared" si="46"/>
        <v>0</v>
      </c>
      <c r="AR31" s="53"/>
      <c r="AS31" s="123">
        <f t="shared" ref="AS31" si="57">O31+AC31+AQ31</f>
        <v>0</v>
      </c>
      <c r="AT31" s="37"/>
    </row>
    <row r="32" spans="1:46" s="35" customFormat="1" ht="10.5" x14ac:dyDescent="0.35">
      <c r="A32" s="61" t="str">
        <f>'Обобщенный расчет'!B22</f>
        <v>Сигнализация (охранная и пожарная)</v>
      </c>
      <c r="B32" s="21" t="str">
        <f>CHOOSE('Исходные данные'!$O$2,'Исходные данные'!$P$2,'Исходные данные'!$P$3,'Исходные данные'!$P$4,'Исходные данные'!$P$5)</f>
        <v>USD</v>
      </c>
      <c r="C32" s="33">
        <f>'Обобщенный расчет'!G22</f>
        <v>71.428571428571431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116">
        <f t="shared" si="44"/>
        <v>71.428571428571431</v>
      </c>
      <c r="P32" s="116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116">
        <f t="shared" si="45"/>
        <v>0</v>
      </c>
      <c r="AD32" s="116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116">
        <f t="shared" si="46"/>
        <v>0</v>
      </c>
      <c r="AR32" s="116"/>
      <c r="AS32" s="123">
        <f t="shared" si="47"/>
        <v>71.428571428571431</v>
      </c>
      <c r="AT32" s="34"/>
    </row>
    <row r="33" spans="1:46" s="38" customFormat="1" ht="10.5" x14ac:dyDescent="0.35">
      <c r="A33" s="62" t="str">
        <f>'Обобщенный расчет'!B23</f>
        <v>Первоначальная закупка товара</v>
      </c>
      <c r="B33" s="24" t="str">
        <f>CHOOSE('Исходные данные'!$O$2,'Исходные данные'!$P$2,'Исходные данные'!$P$3,'Исходные данные'!$P$4,'Исходные данные'!$P$5)</f>
        <v>USD</v>
      </c>
      <c r="C33" s="36">
        <f>'Обобщенный расчет'!G23</f>
        <v>0</v>
      </c>
      <c r="D33" s="36">
        <f t="shared" ref="D33:N33" si="58">IF(OR(C43&lt;0,C43&gt;=D23-C23),0,D23-C23-C43)</f>
        <v>542.85714285714289</v>
      </c>
      <c r="E33" s="36">
        <f t="shared" si="58"/>
        <v>0</v>
      </c>
      <c r="F33" s="36">
        <f t="shared" si="58"/>
        <v>0</v>
      </c>
      <c r="G33" s="36">
        <f t="shared" si="58"/>
        <v>0</v>
      </c>
      <c r="H33" s="36">
        <f t="shared" si="58"/>
        <v>0</v>
      </c>
      <c r="I33" s="36">
        <f t="shared" si="58"/>
        <v>0</v>
      </c>
      <c r="J33" s="36">
        <f t="shared" si="58"/>
        <v>0</v>
      </c>
      <c r="K33" s="36">
        <f t="shared" si="58"/>
        <v>0</v>
      </c>
      <c r="L33" s="36">
        <f t="shared" si="58"/>
        <v>0</v>
      </c>
      <c r="M33" s="36">
        <f t="shared" si="58"/>
        <v>0</v>
      </c>
      <c r="N33" s="36">
        <f t="shared" si="58"/>
        <v>0</v>
      </c>
      <c r="O33" s="53">
        <f>SUM(C33:N33)</f>
        <v>542.85714285714289</v>
      </c>
      <c r="P33" s="53"/>
      <c r="Q33" s="36">
        <f>IF(OR(N43&lt;0,N43&gt;=Q23-N23),0,Q23-N23-N43)</f>
        <v>0</v>
      </c>
      <c r="R33" s="36">
        <f t="shared" ref="R33:AB33" si="59">IF(OR(Q43&lt;0,Q43&gt;=R23-Q23),0,R23-Q23-Q43)</f>
        <v>0</v>
      </c>
      <c r="S33" s="36">
        <f t="shared" si="59"/>
        <v>0</v>
      </c>
      <c r="T33" s="36">
        <f t="shared" si="59"/>
        <v>0</v>
      </c>
      <c r="U33" s="36">
        <f t="shared" si="59"/>
        <v>0</v>
      </c>
      <c r="V33" s="36">
        <f t="shared" si="59"/>
        <v>0</v>
      </c>
      <c r="W33" s="36">
        <f t="shared" si="59"/>
        <v>0</v>
      </c>
      <c r="X33" s="36">
        <f t="shared" si="59"/>
        <v>0</v>
      </c>
      <c r="Y33" s="36">
        <f t="shared" si="59"/>
        <v>0</v>
      </c>
      <c r="Z33" s="36">
        <f t="shared" si="59"/>
        <v>0</v>
      </c>
      <c r="AA33" s="36">
        <f t="shared" si="59"/>
        <v>0</v>
      </c>
      <c r="AB33" s="36">
        <f t="shared" si="59"/>
        <v>0</v>
      </c>
      <c r="AC33" s="53">
        <f t="shared" si="45"/>
        <v>0</v>
      </c>
      <c r="AD33" s="53"/>
      <c r="AE33" s="36">
        <f>IF(OR(AB43&lt;0,AB43&gt;=AE23-AB23),0,AE23-AB23-AB43)</f>
        <v>0</v>
      </c>
      <c r="AF33" s="36">
        <f t="shared" ref="AF33:AP33" si="60">IF(OR(AE43&lt;0,AE43&gt;=AF23-AE23),0,AF23-AE23-AE43)</f>
        <v>0</v>
      </c>
      <c r="AG33" s="36">
        <f t="shared" si="60"/>
        <v>0</v>
      </c>
      <c r="AH33" s="36">
        <f t="shared" si="60"/>
        <v>0</v>
      </c>
      <c r="AI33" s="36">
        <f t="shared" si="60"/>
        <v>0</v>
      </c>
      <c r="AJ33" s="36">
        <f t="shared" si="60"/>
        <v>0</v>
      </c>
      <c r="AK33" s="36">
        <f t="shared" si="60"/>
        <v>0</v>
      </c>
      <c r="AL33" s="36">
        <f t="shared" si="60"/>
        <v>0</v>
      </c>
      <c r="AM33" s="36">
        <f t="shared" si="60"/>
        <v>0</v>
      </c>
      <c r="AN33" s="36">
        <f t="shared" si="60"/>
        <v>0</v>
      </c>
      <c r="AO33" s="36">
        <f t="shared" si="60"/>
        <v>0</v>
      </c>
      <c r="AP33" s="36">
        <f t="shared" si="60"/>
        <v>0</v>
      </c>
      <c r="AQ33" s="53">
        <f t="shared" si="46"/>
        <v>0</v>
      </c>
      <c r="AR33" s="53"/>
      <c r="AS33" s="123">
        <f t="shared" si="47"/>
        <v>542.85714285714289</v>
      </c>
      <c r="AT33" s="37"/>
    </row>
    <row r="34" spans="1:46" s="35" customFormat="1" ht="10.5" x14ac:dyDescent="0.35">
      <c r="A34" s="61" t="str">
        <f>'Обобщенный расчет'!B24</f>
        <v>Допуск для высотных работ**</v>
      </c>
      <c r="B34" s="21" t="str">
        <f>CHOOSE('Исходные данные'!$O$2,'Исходные данные'!$P$2,'Исходные данные'!$P$3,'Исходные данные'!$P$4,'Исходные данные'!$P$5)</f>
        <v>USD</v>
      </c>
      <c r="C34" s="33">
        <f>'Обобщенный расчет'!G24</f>
        <v>71.428571428571431</v>
      </c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116">
        <f>SUM(C34:N34)</f>
        <v>71.428571428571431</v>
      </c>
      <c r="P34" s="116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116">
        <f t="shared" ref="AC34" si="61">SUM(Q34:AB34)</f>
        <v>0</v>
      </c>
      <c r="AD34" s="116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116">
        <f t="shared" ref="AQ34" si="62">SUM(AE34:AP34)</f>
        <v>0</v>
      </c>
      <c r="AR34" s="116"/>
      <c r="AS34" s="123">
        <f t="shared" ref="AS34" si="63">O34+AC34+AQ34</f>
        <v>71.428571428571431</v>
      </c>
      <c r="AT34" s="34"/>
    </row>
    <row r="35" spans="1:46" s="38" customFormat="1" ht="10.5" x14ac:dyDescent="0.35">
      <c r="A35" s="62" t="str">
        <f>'Обобщенный расчет'!B25</f>
        <v>Рекламная кампания</v>
      </c>
      <c r="B35" s="24" t="str">
        <f>CHOOSE('Исходные данные'!$O$2,'Исходные данные'!$P$2,'Исходные данные'!$P$3,'Исходные данные'!$P$4,'Исходные данные'!$P$5)</f>
        <v>USD</v>
      </c>
      <c r="C35" s="36">
        <f>'Обобщенный расчет'!G25</f>
        <v>71.428571428571431</v>
      </c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53">
        <f t="shared" si="44"/>
        <v>71.428571428571431</v>
      </c>
      <c r="P35" s="53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53">
        <f t="shared" si="45"/>
        <v>0</v>
      </c>
      <c r="AD35" s="53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53">
        <f t="shared" si="46"/>
        <v>0</v>
      </c>
      <c r="AR35" s="53"/>
      <c r="AS35" s="123">
        <f t="shared" si="47"/>
        <v>71.428571428571431</v>
      </c>
      <c r="AT35" s="37"/>
    </row>
    <row r="36" spans="1:46" s="35" customFormat="1" ht="10.5" x14ac:dyDescent="0.35">
      <c r="A36" s="61" t="str">
        <f>'Обобщенный расчет'!B26</f>
        <v>Паушальный взнос</v>
      </c>
      <c r="B36" s="21" t="str">
        <f>CHOOSE('Исходные данные'!$O$2,'Исходные данные'!$P$2,'Исходные данные'!$P$3,'Исходные данные'!$P$4,'Исходные данные'!$P$5)</f>
        <v>USD</v>
      </c>
      <c r="C36" s="33">
        <f>'Обобщенный расчет'!G26</f>
        <v>10000</v>
      </c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116">
        <f t="shared" ref="O36" si="64">SUM(C36:N36)</f>
        <v>10000</v>
      </c>
      <c r="P36" s="116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116">
        <f t="shared" si="41"/>
        <v>0</v>
      </c>
      <c r="AD36" s="116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116">
        <f t="shared" si="42"/>
        <v>0</v>
      </c>
      <c r="AR36" s="116"/>
      <c r="AS36" s="123">
        <f t="shared" si="43"/>
        <v>10000</v>
      </c>
      <c r="AT36" s="34"/>
    </row>
    <row r="37" spans="1:46" s="38" customFormat="1" ht="10.5" x14ac:dyDescent="0.35">
      <c r="A37" s="62" t="s">
        <v>152</v>
      </c>
      <c r="B37" s="24" t="str">
        <f>CHOOSE('Исходные данные'!$O$2,'Исходные данные'!$P$2,'Исходные данные'!$P$3,'Исходные данные'!$P$4,'Исходные данные'!$P$5)</f>
        <v>USD</v>
      </c>
      <c r="C37" s="36">
        <f>'Обобщенный расчет'!G27+IF(OR(C17-C23-C60&lt;0,B42-(C17-C23-C60)&lt;0),-(C17-C23-C60),0)</f>
        <v>91.428571428571331</v>
      </c>
      <c r="D37" s="36">
        <f>IF(AND(D17-D23-D60&lt;0,C42-(D17-D23-D60)&lt;0),-(D17-D23-D60),0)</f>
        <v>0</v>
      </c>
      <c r="E37" s="36">
        <f t="shared" ref="E37:N37" si="65">IF(AND(E17-E23-E60&lt;0,D42-(E17-E23-E60)&lt;0),-(E17-E23-E60),0)</f>
        <v>0</v>
      </c>
      <c r="F37" s="36">
        <f t="shared" si="65"/>
        <v>0</v>
      </c>
      <c r="G37" s="36">
        <f t="shared" si="65"/>
        <v>0</v>
      </c>
      <c r="H37" s="36">
        <f t="shared" si="65"/>
        <v>0</v>
      </c>
      <c r="I37" s="36">
        <f t="shared" si="65"/>
        <v>0</v>
      </c>
      <c r="J37" s="36">
        <f t="shared" si="65"/>
        <v>0</v>
      </c>
      <c r="K37" s="36">
        <f t="shared" si="65"/>
        <v>0</v>
      </c>
      <c r="L37" s="36">
        <f t="shared" si="65"/>
        <v>0</v>
      </c>
      <c r="M37" s="36">
        <f t="shared" si="65"/>
        <v>0</v>
      </c>
      <c r="N37" s="36">
        <f t="shared" si="65"/>
        <v>0</v>
      </c>
      <c r="O37" s="53">
        <f t="shared" ref="O37" si="66">SUM(C37:N37)</f>
        <v>91.428571428571331</v>
      </c>
      <c r="P37" s="53"/>
      <c r="Q37" s="36">
        <f>IF(AND(Q17-Q23-Q60&lt;0,P42-(Q17-Q23-Q60)&lt;0),-(Q17-Q23-Q60),0)</f>
        <v>0</v>
      </c>
      <c r="R37" s="36">
        <f t="shared" ref="R37:AA37" si="67">IF(AND(R17-R23-R60&lt;0,Q42-(R17-R23-R60)&lt;0),-(R17-R23-R60),0)</f>
        <v>0</v>
      </c>
      <c r="S37" s="36">
        <f t="shared" si="67"/>
        <v>0</v>
      </c>
      <c r="T37" s="36">
        <f t="shared" si="67"/>
        <v>0</v>
      </c>
      <c r="U37" s="36">
        <f t="shared" si="67"/>
        <v>0</v>
      </c>
      <c r="V37" s="36">
        <f t="shared" si="67"/>
        <v>0</v>
      </c>
      <c r="W37" s="36">
        <f t="shared" si="67"/>
        <v>0</v>
      </c>
      <c r="X37" s="36">
        <f t="shared" si="67"/>
        <v>0</v>
      </c>
      <c r="Y37" s="36">
        <f t="shared" si="67"/>
        <v>0</v>
      </c>
      <c r="Z37" s="36">
        <f t="shared" si="67"/>
        <v>0</v>
      </c>
      <c r="AA37" s="36">
        <f t="shared" si="67"/>
        <v>0</v>
      </c>
      <c r="AB37" s="36">
        <f>IF(AND(AB17-AB23-AB60&lt;0,AA42-(AB17-AB23-AB60)&lt;0),-(AB17-AB23-AB60),0)</f>
        <v>0</v>
      </c>
      <c r="AC37" s="53">
        <f t="shared" ref="AC37" si="68">SUM(Q37:AB37)</f>
        <v>0</v>
      </c>
      <c r="AD37" s="53"/>
      <c r="AE37" s="36">
        <f>IF(AND(AE17-AE23-AE60&lt;0,AD42-(AE17-AE23-AE60)&lt;0),-(AE17-AE23-AE60),0)</f>
        <v>0</v>
      </c>
      <c r="AF37" s="36">
        <f t="shared" ref="AF37:AO37" si="69">IF(AND(AF17-AF23-AF60&lt;0,AE42-(AF17-AF23-AF60)&lt;0),-(AF17-AF23-AF60),0)</f>
        <v>0</v>
      </c>
      <c r="AG37" s="36">
        <f t="shared" si="69"/>
        <v>0</v>
      </c>
      <c r="AH37" s="36">
        <f t="shared" si="69"/>
        <v>0</v>
      </c>
      <c r="AI37" s="36">
        <f t="shared" si="69"/>
        <v>0</v>
      </c>
      <c r="AJ37" s="36">
        <f t="shared" si="69"/>
        <v>0</v>
      </c>
      <c r="AK37" s="36">
        <f t="shared" si="69"/>
        <v>0</v>
      </c>
      <c r="AL37" s="36">
        <f t="shared" si="69"/>
        <v>0</v>
      </c>
      <c r="AM37" s="36">
        <f t="shared" si="69"/>
        <v>0</v>
      </c>
      <c r="AN37" s="36">
        <f t="shared" si="69"/>
        <v>0</v>
      </c>
      <c r="AO37" s="36">
        <f t="shared" si="69"/>
        <v>0</v>
      </c>
      <c r="AP37" s="36">
        <f>IF(AND(AP17-AP23-AP60&lt;0,AO42-(AP17-AP23-AP60)&lt;0),-(AP17-AP23-AP60),0)</f>
        <v>0</v>
      </c>
      <c r="AQ37" s="53">
        <f t="shared" ref="AQ37" si="70">SUM(AE37:AP37)</f>
        <v>0</v>
      </c>
      <c r="AR37" s="53"/>
      <c r="AS37" s="123">
        <f t="shared" ref="AS37" si="71">O37+AC37+AQ37</f>
        <v>91.428571428571331</v>
      </c>
      <c r="AT37" s="37"/>
    </row>
    <row r="38" spans="1:46" s="27" customFormat="1" ht="10.5" x14ac:dyDescent="0.35">
      <c r="A38" s="28" t="s">
        <v>10</v>
      </c>
      <c r="B38" s="29" t="str">
        <f>CHOOSE('Исходные данные'!$O$2,'Исходные данные'!$P$2,'Исходные данные'!$P$3,'Исходные данные'!$P$4,'Исходные данные'!$P$5)</f>
        <v>USD</v>
      </c>
      <c r="C38" s="101">
        <f>SUM(C26:C37)</f>
        <v>25877.142857142855</v>
      </c>
      <c r="D38" s="101">
        <f t="shared" ref="D38:O38" si="72">SUM(D26:D37)</f>
        <v>542.85714285714289</v>
      </c>
      <c r="E38" s="101">
        <f t="shared" si="72"/>
        <v>0</v>
      </c>
      <c r="F38" s="101">
        <f t="shared" si="72"/>
        <v>0</v>
      </c>
      <c r="G38" s="101">
        <f t="shared" si="72"/>
        <v>0</v>
      </c>
      <c r="H38" s="101">
        <f t="shared" si="72"/>
        <v>0</v>
      </c>
      <c r="I38" s="101">
        <f t="shared" si="72"/>
        <v>0</v>
      </c>
      <c r="J38" s="101">
        <f t="shared" si="72"/>
        <v>0</v>
      </c>
      <c r="K38" s="101">
        <f t="shared" si="72"/>
        <v>0</v>
      </c>
      <c r="L38" s="101">
        <f t="shared" si="72"/>
        <v>0</v>
      </c>
      <c r="M38" s="101">
        <f t="shared" si="72"/>
        <v>0</v>
      </c>
      <c r="N38" s="101">
        <f t="shared" si="72"/>
        <v>0</v>
      </c>
      <c r="O38" s="101">
        <f t="shared" si="72"/>
        <v>26420</v>
      </c>
      <c r="P38" s="101"/>
      <c r="Q38" s="101">
        <f t="shared" ref="Q38:AC38" si="73">SUM(Q26:Q37)</f>
        <v>0</v>
      </c>
      <c r="R38" s="101">
        <f t="shared" si="73"/>
        <v>0</v>
      </c>
      <c r="S38" s="101">
        <f t="shared" si="73"/>
        <v>0</v>
      </c>
      <c r="T38" s="101">
        <f t="shared" si="73"/>
        <v>0</v>
      </c>
      <c r="U38" s="101">
        <f t="shared" si="73"/>
        <v>0</v>
      </c>
      <c r="V38" s="101">
        <f t="shared" si="73"/>
        <v>0</v>
      </c>
      <c r="W38" s="101">
        <f t="shared" si="73"/>
        <v>0</v>
      </c>
      <c r="X38" s="101">
        <f t="shared" si="73"/>
        <v>0</v>
      </c>
      <c r="Y38" s="101">
        <f t="shared" si="73"/>
        <v>0</v>
      </c>
      <c r="Z38" s="101">
        <f t="shared" si="73"/>
        <v>0</v>
      </c>
      <c r="AA38" s="101">
        <f t="shared" si="73"/>
        <v>0</v>
      </c>
      <c r="AB38" s="101">
        <f t="shared" si="73"/>
        <v>0</v>
      </c>
      <c r="AC38" s="101">
        <f t="shared" si="73"/>
        <v>0</v>
      </c>
      <c r="AD38" s="101"/>
      <c r="AE38" s="101">
        <f t="shared" ref="AE38:AQ38" si="74">SUM(AE26:AE37)</f>
        <v>0</v>
      </c>
      <c r="AF38" s="101">
        <f t="shared" si="74"/>
        <v>0</v>
      </c>
      <c r="AG38" s="101">
        <f t="shared" si="74"/>
        <v>0</v>
      </c>
      <c r="AH38" s="101">
        <f t="shared" si="74"/>
        <v>0</v>
      </c>
      <c r="AI38" s="101">
        <f t="shared" si="74"/>
        <v>0</v>
      </c>
      <c r="AJ38" s="101">
        <f t="shared" si="74"/>
        <v>0</v>
      </c>
      <c r="AK38" s="101">
        <f t="shared" si="74"/>
        <v>0</v>
      </c>
      <c r="AL38" s="101">
        <f t="shared" si="74"/>
        <v>0</v>
      </c>
      <c r="AM38" s="101">
        <f t="shared" si="74"/>
        <v>0</v>
      </c>
      <c r="AN38" s="101">
        <f t="shared" si="74"/>
        <v>0</v>
      </c>
      <c r="AO38" s="101">
        <f t="shared" si="74"/>
        <v>0</v>
      </c>
      <c r="AP38" s="101">
        <f t="shared" si="74"/>
        <v>0</v>
      </c>
      <c r="AQ38" s="101">
        <f t="shared" si="74"/>
        <v>0</v>
      </c>
      <c r="AR38" s="101"/>
      <c r="AS38" s="124">
        <f>O38+AC38+AQ38</f>
        <v>26420</v>
      </c>
      <c r="AT38" s="26"/>
    </row>
    <row r="39" spans="1:46" s="159" customFormat="1" ht="10.8" thickBot="1" x14ac:dyDescent="0.4">
      <c r="A39" s="155"/>
      <c r="B39" s="156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  <c r="AS39" s="158"/>
    </row>
    <row r="40" spans="1:46" s="13" customFormat="1" ht="21.6" thickTop="1" thickBot="1" x14ac:dyDescent="0.4">
      <c r="A40" s="14" t="s">
        <v>9</v>
      </c>
      <c r="B40" s="15"/>
      <c r="C40" s="19" t="str">
        <f t="shared" ref="C40:N40" si="75">C$6</f>
        <v>январь</v>
      </c>
      <c r="D40" s="19" t="str">
        <f t="shared" si="75"/>
        <v>февраль</v>
      </c>
      <c r="E40" s="19" t="str">
        <f t="shared" si="75"/>
        <v>март</v>
      </c>
      <c r="F40" s="19" t="str">
        <f t="shared" si="75"/>
        <v>апрель</v>
      </c>
      <c r="G40" s="19" t="str">
        <f t="shared" si="75"/>
        <v>май</v>
      </c>
      <c r="H40" s="19" t="str">
        <f t="shared" si="75"/>
        <v>июнь</v>
      </c>
      <c r="I40" s="19" t="str">
        <f t="shared" si="75"/>
        <v>июль</v>
      </c>
      <c r="J40" s="19" t="str">
        <f t="shared" si="75"/>
        <v>август</v>
      </c>
      <c r="K40" s="19" t="str">
        <f t="shared" si="75"/>
        <v>сентябрь</v>
      </c>
      <c r="L40" s="19" t="str">
        <f t="shared" si="75"/>
        <v>октябрь</v>
      </c>
      <c r="M40" s="19" t="str">
        <f t="shared" si="75"/>
        <v>ноябрь</v>
      </c>
      <c r="N40" s="19" t="str">
        <f t="shared" si="75"/>
        <v>декабрь</v>
      </c>
      <c r="O40" s="117" t="str">
        <f>O25</f>
        <v>Итого за 1-й год</v>
      </c>
      <c r="P40" s="117" t="str">
        <f>P25</f>
        <v>Среднемесячно за 1-й год</v>
      </c>
      <c r="Q40" s="19" t="str">
        <f t="shared" ref="Q40:AB40" si="76">Q$6</f>
        <v>январь</v>
      </c>
      <c r="R40" s="19" t="str">
        <f t="shared" si="76"/>
        <v>февраль</v>
      </c>
      <c r="S40" s="19" t="str">
        <f t="shared" si="76"/>
        <v>март</v>
      </c>
      <c r="T40" s="19" t="str">
        <f t="shared" si="76"/>
        <v>апрель</v>
      </c>
      <c r="U40" s="19" t="str">
        <f t="shared" si="76"/>
        <v>май</v>
      </c>
      <c r="V40" s="19" t="str">
        <f t="shared" si="76"/>
        <v>июнь</v>
      </c>
      <c r="W40" s="19" t="str">
        <f t="shared" si="76"/>
        <v>июль</v>
      </c>
      <c r="X40" s="19" t="str">
        <f t="shared" si="76"/>
        <v>август</v>
      </c>
      <c r="Y40" s="19" t="str">
        <f t="shared" si="76"/>
        <v>сентябрь</v>
      </c>
      <c r="Z40" s="19" t="str">
        <f t="shared" si="76"/>
        <v>октябрь</v>
      </c>
      <c r="AA40" s="19" t="str">
        <f t="shared" si="76"/>
        <v>ноябрь</v>
      </c>
      <c r="AB40" s="19" t="str">
        <f t="shared" si="76"/>
        <v>декабрь</v>
      </c>
      <c r="AC40" s="117" t="str">
        <f>AC25</f>
        <v>Итого за 2-й год</v>
      </c>
      <c r="AD40" s="117" t="str">
        <f>AD25</f>
        <v>Среднемесячно за 2-й год</v>
      </c>
      <c r="AE40" s="19" t="str">
        <f t="shared" ref="AE40:AP40" si="77">AE$6</f>
        <v>январь</v>
      </c>
      <c r="AF40" s="19" t="str">
        <f t="shared" si="77"/>
        <v>февраль</v>
      </c>
      <c r="AG40" s="19" t="str">
        <f t="shared" si="77"/>
        <v>март</v>
      </c>
      <c r="AH40" s="19" t="str">
        <f t="shared" si="77"/>
        <v>апрель</v>
      </c>
      <c r="AI40" s="19" t="str">
        <f t="shared" si="77"/>
        <v>май</v>
      </c>
      <c r="AJ40" s="19" t="str">
        <f t="shared" si="77"/>
        <v>июнь</v>
      </c>
      <c r="AK40" s="19" t="str">
        <f t="shared" si="77"/>
        <v>июль</v>
      </c>
      <c r="AL40" s="19" t="str">
        <f t="shared" si="77"/>
        <v>август</v>
      </c>
      <c r="AM40" s="19" t="str">
        <f t="shared" si="77"/>
        <v>сентябрь</v>
      </c>
      <c r="AN40" s="19" t="str">
        <f t="shared" si="77"/>
        <v>октябрь</v>
      </c>
      <c r="AO40" s="19" t="str">
        <f t="shared" si="77"/>
        <v>ноябрь</v>
      </c>
      <c r="AP40" s="19" t="str">
        <f t="shared" si="77"/>
        <v>декабрь</v>
      </c>
      <c r="AQ40" s="117" t="str">
        <f>AQ25</f>
        <v>Итого за 3-й год</v>
      </c>
      <c r="AR40" s="117" t="str">
        <f>AR25</f>
        <v>Среднемесячно за 3-й год</v>
      </c>
      <c r="AS40" s="126" t="str">
        <f>AS25</f>
        <v>Итого за три года</v>
      </c>
    </row>
    <row r="41" spans="1:46" s="167" customFormat="1" ht="10.5" hidden="1" thickTop="1" x14ac:dyDescent="0.35">
      <c r="A41" s="168" t="s">
        <v>36</v>
      </c>
      <c r="B41" s="165"/>
      <c r="C41" s="169">
        <f t="shared" ref="C41:N41" si="78">C17-C23-C60</f>
        <v>-91.428571428571331</v>
      </c>
      <c r="D41" s="169">
        <f t="shared" si="78"/>
        <v>981.42857142857133</v>
      </c>
      <c r="E41" s="169">
        <f t="shared" si="78"/>
        <v>945.71428571428555</v>
      </c>
      <c r="F41" s="169">
        <f t="shared" si="78"/>
        <v>2018.571428571428</v>
      </c>
      <c r="G41" s="169">
        <f t="shared" si="78"/>
        <v>3019.9999999999991</v>
      </c>
      <c r="H41" s="169">
        <f t="shared" si="78"/>
        <v>3055.7142857142849</v>
      </c>
      <c r="I41" s="169">
        <f t="shared" si="78"/>
        <v>3019.9999999999991</v>
      </c>
      <c r="J41" s="169">
        <f t="shared" si="78"/>
        <v>3055.7142857142849</v>
      </c>
      <c r="K41" s="169">
        <f t="shared" si="78"/>
        <v>3019.9999999999991</v>
      </c>
      <c r="L41" s="169">
        <f t="shared" si="78"/>
        <v>3055.7142857142849</v>
      </c>
      <c r="M41" s="169">
        <f t="shared" si="78"/>
        <v>4057.1428571428569</v>
      </c>
      <c r="N41" s="169">
        <f t="shared" si="78"/>
        <v>4092.8571428571427</v>
      </c>
      <c r="O41" s="166"/>
      <c r="P41" s="166"/>
      <c r="Q41" s="169">
        <f t="shared" ref="Q41:AB41" si="79">Q17-Q23-Q60</f>
        <v>3985.7142857142853</v>
      </c>
      <c r="R41" s="169">
        <f t="shared" si="79"/>
        <v>4092.8571428571427</v>
      </c>
      <c r="S41" s="169">
        <f t="shared" si="79"/>
        <v>4057.1428571428569</v>
      </c>
      <c r="T41" s="169">
        <f t="shared" si="79"/>
        <v>4092.8571428571427</v>
      </c>
      <c r="U41" s="169">
        <f t="shared" si="79"/>
        <v>4057.1428571428569</v>
      </c>
      <c r="V41" s="169">
        <f t="shared" si="79"/>
        <v>4092.8571428571427</v>
      </c>
      <c r="W41" s="169">
        <f t="shared" si="79"/>
        <v>4057.1428571428569</v>
      </c>
      <c r="X41" s="169">
        <f t="shared" si="79"/>
        <v>5130</v>
      </c>
      <c r="Y41" s="169">
        <f t="shared" si="79"/>
        <v>5094.2857142857138</v>
      </c>
      <c r="Z41" s="169">
        <f t="shared" si="79"/>
        <v>5130</v>
      </c>
      <c r="AA41" s="169">
        <f t="shared" si="79"/>
        <v>5094.2857142857138</v>
      </c>
      <c r="AB41" s="169">
        <f t="shared" si="79"/>
        <v>5130</v>
      </c>
      <c r="AC41" s="166"/>
      <c r="AD41" s="166"/>
      <c r="AE41" s="169">
        <f t="shared" ref="AE41:AP41" si="80">AE17-AE23-AE60</f>
        <v>5022.8571428571422</v>
      </c>
      <c r="AF41" s="169">
        <f t="shared" si="80"/>
        <v>5130</v>
      </c>
      <c r="AG41" s="169">
        <f t="shared" si="80"/>
        <v>5094.2857142857138</v>
      </c>
      <c r="AH41" s="169">
        <f t="shared" si="80"/>
        <v>6167.1428571428569</v>
      </c>
      <c r="AI41" s="169">
        <f t="shared" si="80"/>
        <v>6131.4285714285706</v>
      </c>
      <c r="AJ41" s="169">
        <f t="shared" si="80"/>
        <v>6167.1428571428569</v>
      </c>
      <c r="AK41" s="169">
        <f t="shared" si="80"/>
        <v>7168.5714285714294</v>
      </c>
      <c r="AL41" s="169">
        <f t="shared" si="80"/>
        <v>7204.2857142857147</v>
      </c>
      <c r="AM41" s="169">
        <f t="shared" si="80"/>
        <v>8205.7142857142862</v>
      </c>
      <c r="AN41" s="169">
        <f t="shared" si="80"/>
        <v>9278.5714285714312</v>
      </c>
      <c r="AO41" s="169">
        <f t="shared" si="80"/>
        <v>9242.8571428571449</v>
      </c>
      <c r="AP41" s="169">
        <f t="shared" si="80"/>
        <v>9278.5714285714312</v>
      </c>
      <c r="AQ41" s="166"/>
      <c r="AR41" s="166"/>
      <c r="AS41" s="166"/>
    </row>
    <row r="42" spans="1:46" s="167" customFormat="1" ht="10.199999999999999" hidden="1" x14ac:dyDescent="0.35">
      <c r="A42" s="168" t="s">
        <v>79</v>
      </c>
      <c r="B42" s="165"/>
      <c r="C42" s="169">
        <f>C41+B42</f>
        <v>-91.428571428571331</v>
      </c>
      <c r="D42" s="169">
        <f t="shared" ref="D42:N42" si="81">D41+C42</f>
        <v>890</v>
      </c>
      <c r="E42" s="169">
        <f t="shared" si="81"/>
        <v>1835.7142857142856</v>
      </c>
      <c r="F42" s="169">
        <f t="shared" si="81"/>
        <v>3854.2857142857138</v>
      </c>
      <c r="G42" s="169">
        <f t="shared" si="81"/>
        <v>6874.2857142857129</v>
      </c>
      <c r="H42" s="169">
        <f t="shared" si="81"/>
        <v>9929.9999999999982</v>
      </c>
      <c r="I42" s="169">
        <f t="shared" si="81"/>
        <v>12949.999999999996</v>
      </c>
      <c r="J42" s="169">
        <f t="shared" si="81"/>
        <v>16005.714285714281</v>
      </c>
      <c r="K42" s="169">
        <f t="shared" si="81"/>
        <v>19025.714285714279</v>
      </c>
      <c r="L42" s="169">
        <f t="shared" si="81"/>
        <v>22081.428571428565</v>
      </c>
      <c r="M42" s="169">
        <f t="shared" si="81"/>
        <v>26138.57142857142</v>
      </c>
      <c r="N42" s="169">
        <f t="shared" si="81"/>
        <v>30231.428571428562</v>
      </c>
      <c r="O42" s="166"/>
      <c r="P42" s="166"/>
      <c r="Q42" s="169">
        <f>Q41+N42</f>
        <v>34217.142857142848</v>
      </c>
      <c r="R42" s="169">
        <f t="shared" ref="R42" si="82">R41+Q42</f>
        <v>38309.999999999993</v>
      </c>
      <c r="S42" s="169">
        <f t="shared" ref="S42" si="83">S41+R42</f>
        <v>42367.142857142848</v>
      </c>
      <c r="T42" s="169">
        <f t="shared" ref="T42" si="84">T41+S42</f>
        <v>46459.999999999993</v>
      </c>
      <c r="U42" s="169">
        <f t="shared" ref="U42" si="85">U41+T42</f>
        <v>50517.142857142848</v>
      </c>
      <c r="V42" s="169">
        <f t="shared" ref="V42" si="86">V41+U42</f>
        <v>54609.999999999993</v>
      </c>
      <c r="W42" s="169">
        <f t="shared" ref="W42" si="87">W41+V42</f>
        <v>58667.142857142848</v>
      </c>
      <c r="X42" s="169">
        <f t="shared" ref="X42" si="88">X41+W42</f>
        <v>63797.142857142848</v>
      </c>
      <c r="Y42" s="169">
        <f t="shared" ref="Y42" si="89">Y41+X42</f>
        <v>68891.428571428565</v>
      </c>
      <c r="Z42" s="169">
        <f t="shared" ref="Z42" si="90">Z41+Y42</f>
        <v>74021.428571428565</v>
      </c>
      <c r="AA42" s="169">
        <f t="shared" ref="AA42" si="91">AA41+Z42</f>
        <v>79115.714285714275</v>
      </c>
      <c r="AB42" s="169">
        <f t="shared" ref="AB42" si="92">AB41+AA42</f>
        <v>84245.714285714275</v>
      </c>
      <c r="AC42" s="166"/>
      <c r="AD42" s="166"/>
      <c r="AE42" s="169">
        <f>AE41+AB42</f>
        <v>89268.57142857142</v>
      </c>
      <c r="AF42" s="169">
        <f t="shared" ref="AF42" si="93">AF41+AE42</f>
        <v>94398.57142857142</v>
      </c>
      <c r="AG42" s="169">
        <f t="shared" ref="AG42" si="94">AG41+AF42</f>
        <v>99492.85714285713</v>
      </c>
      <c r="AH42" s="169">
        <f t="shared" ref="AH42" si="95">AH41+AG42</f>
        <v>105659.99999999999</v>
      </c>
      <c r="AI42" s="169">
        <f t="shared" ref="AI42" si="96">AI41+AH42</f>
        <v>111791.42857142855</v>
      </c>
      <c r="AJ42" s="169">
        <f t="shared" ref="AJ42" si="97">AJ41+AI42</f>
        <v>117958.57142857141</v>
      </c>
      <c r="AK42" s="169">
        <f t="shared" ref="AK42" si="98">AK41+AJ42</f>
        <v>125127.14285714284</v>
      </c>
      <c r="AL42" s="169">
        <f t="shared" ref="AL42" si="99">AL41+AK42</f>
        <v>132331.42857142855</v>
      </c>
      <c r="AM42" s="169">
        <f t="shared" ref="AM42" si="100">AM41+AL42</f>
        <v>140537.14285714284</v>
      </c>
      <c r="AN42" s="169">
        <f t="shared" ref="AN42" si="101">AN41+AM42</f>
        <v>149815.71428571426</v>
      </c>
      <c r="AO42" s="169">
        <f t="shared" ref="AO42" si="102">AO41+AN42</f>
        <v>159058.57142857142</v>
      </c>
      <c r="AP42" s="169">
        <f t="shared" ref="AP42" si="103">AP41+AO42</f>
        <v>168337.14285714284</v>
      </c>
      <c r="AQ42" s="166"/>
      <c r="AR42" s="166"/>
      <c r="AS42" s="166"/>
    </row>
    <row r="43" spans="1:46" s="167" customFormat="1" ht="10.199999999999999" hidden="1" x14ac:dyDescent="0.35">
      <c r="A43" s="168" t="s">
        <v>95</v>
      </c>
      <c r="B43" s="165"/>
      <c r="C43" s="169">
        <f>IF(C37&gt;0,-C42-C37,C41)</f>
        <v>0</v>
      </c>
      <c r="D43" s="169">
        <f>IF(D37&gt;0,C43+(-D41-D37),C43+D41)</f>
        <v>981.42857142857133</v>
      </c>
      <c r="E43" s="169">
        <f t="shared" ref="E43:N43" si="104">IF(E37&gt;0,D43+(-E41-E37),D43+E41)</f>
        <v>1927.1428571428569</v>
      </c>
      <c r="F43" s="169">
        <f t="shared" si="104"/>
        <v>3945.7142857142849</v>
      </c>
      <c r="G43" s="169">
        <f t="shared" si="104"/>
        <v>6965.7142857142844</v>
      </c>
      <c r="H43" s="169">
        <f t="shared" si="104"/>
        <v>10021.428571428569</v>
      </c>
      <c r="I43" s="169">
        <f t="shared" si="104"/>
        <v>13041.428571428569</v>
      </c>
      <c r="J43" s="169">
        <f t="shared" si="104"/>
        <v>16097.142857142853</v>
      </c>
      <c r="K43" s="169">
        <f>IF(K37&gt;0,J43+(-K41-K37),J43+K41)</f>
        <v>19117.142857142851</v>
      </c>
      <c r="L43" s="169">
        <f t="shared" si="104"/>
        <v>22172.857142857138</v>
      </c>
      <c r="M43" s="169">
        <f t="shared" si="104"/>
        <v>26229.999999999993</v>
      </c>
      <c r="N43" s="169">
        <f t="shared" si="104"/>
        <v>30322.857142857134</v>
      </c>
      <c r="O43" s="166"/>
      <c r="P43" s="166"/>
      <c r="Q43" s="169">
        <f>IF(Q37&gt;0,N43+(-Q41-Q37),N43+Q41)</f>
        <v>34308.57142857142</v>
      </c>
      <c r="R43" s="169">
        <f t="shared" ref="R43:AB43" si="105">IF(R37&gt;0,Q43+(-R41-R37),Q43+R41)</f>
        <v>38401.428571428565</v>
      </c>
      <c r="S43" s="169">
        <f t="shared" si="105"/>
        <v>42458.57142857142</v>
      </c>
      <c r="T43" s="169">
        <f t="shared" si="105"/>
        <v>46551.428571428565</v>
      </c>
      <c r="U43" s="169">
        <f t="shared" si="105"/>
        <v>50608.57142857142</v>
      </c>
      <c r="V43" s="169">
        <f t="shared" si="105"/>
        <v>54701.428571428565</v>
      </c>
      <c r="W43" s="169">
        <f t="shared" si="105"/>
        <v>58758.57142857142</v>
      </c>
      <c r="X43" s="169">
        <f t="shared" si="105"/>
        <v>63888.57142857142</v>
      </c>
      <c r="Y43" s="169">
        <f t="shared" si="105"/>
        <v>68982.85714285713</v>
      </c>
      <c r="Z43" s="169">
        <f t="shared" si="105"/>
        <v>74112.85714285713</v>
      </c>
      <c r="AA43" s="169">
        <f t="shared" si="105"/>
        <v>79207.142857142841</v>
      </c>
      <c r="AB43" s="169">
        <f t="shared" si="105"/>
        <v>84337.142857142841</v>
      </c>
      <c r="AC43" s="166"/>
      <c r="AD43" s="166"/>
      <c r="AE43" s="169">
        <f>IF(AE37&gt;0,AB43+(-AE41-AE37),AB43+AE41)</f>
        <v>89359.999999999985</v>
      </c>
      <c r="AF43" s="169">
        <f t="shared" ref="AF43:AP43" si="106">IF(AF37&gt;0,AE43+(-AF41-AF37),AE43+AF41)</f>
        <v>94489.999999999985</v>
      </c>
      <c r="AG43" s="169">
        <f t="shared" si="106"/>
        <v>99584.285714285696</v>
      </c>
      <c r="AH43" s="169">
        <f t="shared" si="106"/>
        <v>105751.42857142855</v>
      </c>
      <c r="AI43" s="169">
        <f t="shared" si="106"/>
        <v>111882.85714285712</v>
      </c>
      <c r="AJ43" s="169">
        <f t="shared" si="106"/>
        <v>118049.99999999997</v>
      </c>
      <c r="AK43" s="169">
        <f t="shared" si="106"/>
        <v>125218.57142857141</v>
      </c>
      <c r="AL43" s="169">
        <f t="shared" si="106"/>
        <v>132422.85714285713</v>
      </c>
      <c r="AM43" s="169">
        <f t="shared" si="106"/>
        <v>140628.57142857142</v>
      </c>
      <c r="AN43" s="169">
        <f t="shared" si="106"/>
        <v>149907.14285714284</v>
      </c>
      <c r="AO43" s="169">
        <f t="shared" si="106"/>
        <v>159150</v>
      </c>
      <c r="AP43" s="169">
        <f t="shared" si="106"/>
        <v>168428.57142857142</v>
      </c>
      <c r="AQ43" s="166"/>
      <c r="AR43" s="166"/>
      <c r="AS43" s="166"/>
    </row>
    <row r="44" spans="1:46" s="167" customFormat="1" ht="10.199999999999999" hidden="1" x14ac:dyDescent="0.35">
      <c r="A44" s="168"/>
      <c r="B44" s="165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6"/>
      <c r="P44" s="166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6"/>
      <c r="AD44" s="166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6"/>
      <c r="AR44" s="166"/>
      <c r="AS44" s="166"/>
    </row>
    <row r="45" spans="1:46" s="35" customFormat="1" ht="10.8" thickTop="1" x14ac:dyDescent="0.35">
      <c r="A45" s="61" t="str">
        <f>'Обобщенный расчет'!B40</f>
        <v>Зарплата персонала</v>
      </c>
      <c r="B45" s="21" t="str">
        <f>CHOOSE('Исходные данные'!$O$2,'Исходные данные'!$P$2,'Исходные данные'!$P$3,'Исходные данные'!$P$4,'Исходные данные'!$P$5)</f>
        <v>USD</v>
      </c>
      <c r="C45" s="33">
        <f>C9*('Обобщенный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расчет'!$H$36)*C17</f>
        <v>591.42857142857144</v>
      </c>
      <c r="D45" s="33">
        <f>D9*('Обобщенный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расчет'!$H$36)*D17</f>
        <v>611.42857142857144</v>
      </c>
      <c r="E45" s="33">
        <f>E9*('Обобщенный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расчет'!$H$36)*E17</f>
        <v>611.42857142857144</v>
      </c>
      <c r="F45" s="33">
        <f>F9*('Обобщенный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расчет'!$H$36)*F17</f>
        <v>631.42857142857144</v>
      </c>
      <c r="G45" s="33">
        <f>G9*('Обобщенный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расчет'!$H$36)*G17</f>
        <v>651.42857142857144</v>
      </c>
      <c r="H45" s="33">
        <f>H9*('Обобщенный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расчет'!$H$36)*H17</f>
        <v>651.42857142857144</v>
      </c>
      <c r="I45" s="33">
        <f>I9*('Обобщенный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расчет'!$H$36)*I17</f>
        <v>651.42857142857144</v>
      </c>
      <c r="J45" s="33">
        <f>J9*('Обобщенный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расчет'!$H$36)*J17</f>
        <v>651.42857142857144</v>
      </c>
      <c r="K45" s="33">
        <f>K9*('Обобщенный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расчет'!$H$36)*K17</f>
        <v>651.42857142857144</v>
      </c>
      <c r="L45" s="33">
        <f>L9*('Обобщенный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расчет'!$H$36)*L17</f>
        <v>651.42857142857144</v>
      </c>
      <c r="M45" s="33">
        <f>M9*('Обобщенный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расчет'!$H$36)*M17</f>
        <v>671.42857142857144</v>
      </c>
      <c r="N45" s="33">
        <f>N9*('Обобщенный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расчет'!$H$36)*N17</f>
        <v>671.42857142857144</v>
      </c>
      <c r="O45" s="116">
        <f t="shared" ref="O45:O50" si="107">SUM(C45:N45)</f>
        <v>7697.1428571428578</v>
      </c>
      <c r="P45" s="116">
        <f t="shared" ref="P45:P50" si="108">O45/12</f>
        <v>641.42857142857144</v>
      </c>
      <c r="Q45" s="33">
        <f>Q9*('Обобщенный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расчет'!$H$36)*Q17</f>
        <v>671.42857142857144</v>
      </c>
      <c r="R45" s="33">
        <f>R9*('Обобщенный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расчет'!$H$36)*R17</f>
        <v>671.42857142857144</v>
      </c>
      <c r="S45" s="33">
        <f>S9*('Обобщенный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расчет'!$H$36)*S17</f>
        <v>671.42857142857144</v>
      </c>
      <c r="T45" s="33">
        <f>T9*('Обобщенный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расчет'!$H$36)*T17</f>
        <v>671.42857142857144</v>
      </c>
      <c r="U45" s="33">
        <f>U9*('Обобщенный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расчет'!$H$36)*U17</f>
        <v>671.42857142857144</v>
      </c>
      <c r="V45" s="33">
        <f>V9*('Обобщенный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расчет'!$H$36)*V17</f>
        <v>671.42857142857144</v>
      </c>
      <c r="W45" s="33">
        <f>W9*('Обобщенный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расчет'!$H$36)*W17</f>
        <v>671.42857142857144</v>
      </c>
      <c r="X45" s="33">
        <f>X9*('Обобщенный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расчет'!$H$36)*X17</f>
        <v>691.42857142857144</v>
      </c>
      <c r="Y45" s="33">
        <f>Y9*('Обобщенный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расчет'!$H$36)*Y17</f>
        <v>691.42857142857144</v>
      </c>
      <c r="Z45" s="33">
        <f>Z9*('Обобщенный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расчет'!$H$36)*Z17</f>
        <v>691.42857142857144</v>
      </c>
      <c r="AA45" s="33">
        <f>AA9*('Обобщенный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расчет'!$H$36)*AA17</f>
        <v>691.42857142857144</v>
      </c>
      <c r="AB45" s="33">
        <f>AB9*('Обобщенный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расчет'!$H$36)*AB17</f>
        <v>691.42857142857144</v>
      </c>
      <c r="AC45" s="116">
        <f t="shared" ref="AC45:AC50" si="109">SUM(Q45:AB45)</f>
        <v>8157.1428571428578</v>
      </c>
      <c r="AD45" s="116">
        <f t="shared" ref="AD45:AD50" si="110">AC45/12</f>
        <v>679.76190476190482</v>
      </c>
      <c r="AE45" s="33">
        <f>AE9*('Обобщенный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расчет'!$H$36)*AE17</f>
        <v>691.42857142857144</v>
      </c>
      <c r="AF45" s="33">
        <f>AF9*('Обобщенный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расчет'!$H$36)*AF17</f>
        <v>691.42857142857144</v>
      </c>
      <c r="AG45" s="33">
        <f>AG9*('Обобщенный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расчет'!$H$36)*AG17</f>
        <v>691.42857142857144</v>
      </c>
      <c r="AH45" s="33">
        <f>AH9*('Обобщенный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расчет'!$H$36)*AH17</f>
        <v>711.42857142857144</v>
      </c>
      <c r="AI45" s="33">
        <f>AI9*('Обобщенный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расчет'!$H$36)*AI17</f>
        <v>711.42857142857144</v>
      </c>
      <c r="AJ45" s="33">
        <f>AJ9*('Обобщенный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расчет'!$H$36)*AJ17</f>
        <v>711.42857142857144</v>
      </c>
      <c r="AK45" s="33">
        <f>AK9*('Обобщенный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расчет'!$H$36)*AK17</f>
        <v>731.42857142857144</v>
      </c>
      <c r="AL45" s="33">
        <f>AL9*('Обобщенный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расчет'!$H$36)*AL17</f>
        <v>731.42857142857144</v>
      </c>
      <c r="AM45" s="33">
        <f>AM9*('Обобщенный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расчет'!$H$36)*AM17</f>
        <v>751.42857142857144</v>
      </c>
      <c r="AN45" s="33">
        <f>AN9*('Обобщенный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расчет'!$H$36)*AN17</f>
        <v>771.42857142857144</v>
      </c>
      <c r="AO45" s="33">
        <f>AO9*('Обобщенный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расчет'!$H$36)*AO17</f>
        <v>771.42857142857144</v>
      </c>
      <c r="AP45" s="33">
        <f>AP9*('Обобщенный расчет'!$D$33*'Обобщенный расчет'!$F$33+'Обобщенный расчет'!$D$34*'Обобщенный расчет'!$F$34+'Обобщенный расчет'!$D$35*'Обобщенный расчет'!$F$35+'Обобщенный расчет'!$D$36*'Обобщенный расчет'!$F$36)+('Обобщенный расчет'!$H$33+'Обобщенный расчет'!$H$34+'Обобщенный расчет'!$H$35+'Обобщенный расчет'!$H$36)*AP17</f>
        <v>771.42857142857144</v>
      </c>
      <c r="AQ45" s="116">
        <f t="shared" ref="AQ45:AQ50" si="111">SUM(AE45:AP45)</f>
        <v>8737.1428571428569</v>
      </c>
      <c r="AR45" s="116">
        <f t="shared" ref="AR45:AR50" si="112">AQ45/12</f>
        <v>728.09523809523807</v>
      </c>
      <c r="AS45" s="123">
        <f t="shared" ref="AS45:AS50" si="113">O45+AC45+AQ45</f>
        <v>24591.428571428572</v>
      </c>
      <c r="AT45" s="34"/>
    </row>
    <row r="46" spans="1:46" s="38" customFormat="1" ht="10.5" x14ac:dyDescent="0.35">
      <c r="A46" s="62" t="str">
        <f>'Обобщенный расчет'!B41</f>
        <v>Процент от переданого заказа</v>
      </c>
      <c r="B46" s="24" t="str">
        <f>CHOOSE('Исходные данные'!$O$2,'Исходные данные'!$P$2,'Исходные данные'!$P$3,'Исходные данные'!$P$4,'Исходные данные'!$P$5)</f>
        <v>USD</v>
      </c>
      <c r="C46" s="36">
        <f>C17*'Обобщенный расчет'!$D$41</f>
        <v>400</v>
      </c>
      <c r="D46" s="36">
        <f>D17*'Обобщенный расчет'!$D$41</f>
        <v>800</v>
      </c>
      <c r="E46" s="36">
        <f>E17*'Обобщенный расчет'!$D$41</f>
        <v>800</v>
      </c>
      <c r="F46" s="36">
        <f>F17*'Обобщенный расчет'!$D$41</f>
        <v>1200</v>
      </c>
      <c r="G46" s="36">
        <f>G17*'Обобщенный расчет'!$D$41</f>
        <v>1600</v>
      </c>
      <c r="H46" s="36">
        <f>H17*'Обобщенный расчет'!$D$41</f>
        <v>1600</v>
      </c>
      <c r="I46" s="36">
        <f>I17*'Обобщенный расчет'!$D$41</f>
        <v>1600</v>
      </c>
      <c r="J46" s="36">
        <f>J17*'Обобщенный расчет'!$D$41</f>
        <v>1600</v>
      </c>
      <c r="K46" s="36">
        <f>K17*'Обобщенный расчет'!$D$41</f>
        <v>1600</v>
      </c>
      <c r="L46" s="36">
        <f>L17*'Обобщенный расчет'!$D$41</f>
        <v>1600</v>
      </c>
      <c r="M46" s="36">
        <f>M17*'Обобщенный расчет'!$D$41</f>
        <v>2000</v>
      </c>
      <c r="N46" s="36">
        <f>N17*'Обобщенный расчет'!$D$41</f>
        <v>2000</v>
      </c>
      <c r="O46" s="53">
        <f t="shared" si="107"/>
        <v>16800</v>
      </c>
      <c r="P46" s="53">
        <f t="shared" si="108"/>
        <v>1400</v>
      </c>
      <c r="Q46" s="36">
        <f>Q17*'Обобщенный расчет'!$D$41</f>
        <v>2000</v>
      </c>
      <c r="R46" s="36">
        <f>R17*'Обобщенный расчет'!$D$41</f>
        <v>2000</v>
      </c>
      <c r="S46" s="36">
        <f>S17*'Обобщенный расчет'!$D$41</f>
        <v>2000</v>
      </c>
      <c r="T46" s="36">
        <f>T17*'Обобщенный расчет'!$D$41</f>
        <v>2000</v>
      </c>
      <c r="U46" s="36">
        <f>U17*'Обобщенный расчет'!$D$41</f>
        <v>2000</v>
      </c>
      <c r="V46" s="36">
        <f>V17*'Обобщенный расчет'!$D$41</f>
        <v>2000</v>
      </c>
      <c r="W46" s="36">
        <f>W17*'Обобщенный расчет'!$D$41</f>
        <v>2000</v>
      </c>
      <c r="X46" s="36">
        <f>X17*'Обобщенный расчет'!$D$41</f>
        <v>2400</v>
      </c>
      <c r="Y46" s="36">
        <f>Y17*'Обобщенный расчет'!$D$41</f>
        <v>2400</v>
      </c>
      <c r="Z46" s="36">
        <f>Z17*'Обобщенный расчет'!$D$41</f>
        <v>2400</v>
      </c>
      <c r="AA46" s="36">
        <f>AA17*'Обобщенный расчет'!$D$41</f>
        <v>2400</v>
      </c>
      <c r="AB46" s="36">
        <f>AB17*'Обобщенный расчет'!$D$41</f>
        <v>2400</v>
      </c>
      <c r="AC46" s="53">
        <f t="shared" si="109"/>
        <v>26000</v>
      </c>
      <c r="AD46" s="53">
        <f t="shared" si="110"/>
        <v>2166.6666666666665</v>
      </c>
      <c r="AE46" s="36">
        <f>AE17*'Обобщенный расчет'!$D$41</f>
        <v>2400</v>
      </c>
      <c r="AF46" s="36">
        <f>AF17*'Обобщенный расчет'!$D$41</f>
        <v>2400</v>
      </c>
      <c r="AG46" s="36">
        <f>AG17*'Обобщенный расчет'!$D$41</f>
        <v>2400</v>
      </c>
      <c r="AH46" s="36">
        <f>AH17*'Обобщенный расчет'!$D$41</f>
        <v>2800</v>
      </c>
      <c r="AI46" s="36">
        <f>AI17*'Обобщенный расчет'!$D$41</f>
        <v>2800</v>
      </c>
      <c r="AJ46" s="36">
        <f>AJ17*'Обобщенный расчет'!$D$41</f>
        <v>2800</v>
      </c>
      <c r="AK46" s="36">
        <f>AK17*'Обобщенный расчет'!$D$41</f>
        <v>3200</v>
      </c>
      <c r="AL46" s="36">
        <f>AL17*'Обобщенный расчет'!$D$41</f>
        <v>3200</v>
      </c>
      <c r="AM46" s="36">
        <f>AM17*'Обобщенный расчет'!$D$41</f>
        <v>3600</v>
      </c>
      <c r="AN46" s="36">
        <f>AN17*'Обобщенный расчет'!$D$41</f>
        <v>4000</v>
      </c>
      <c r="AO46" s="36">
        <f>AO17*'Обобщенный расчет'!$D$41</f>
        <v>4000</v>
      </c>
      <c r="AP46" s="36">
        <f>AP17*'Обобщенный расчет'!$D$41</f>
        <v>4000</v>
      </c>
      <c r="AQ46" s="53">
        <f t="shared" si="111"/>
        <v>37600</v>
      </c>
      <c r="AR46" s="53">
        <f t="shared" si="112"/>
        <v>3133.3333333333335</v>
      </c>
      <c r="AS46" s="123">
        <f t="shared" si="113"/>
        <v>80400</v>
      </c>
      <c r="AT46" s="37"/>
    </row>
    <row r="47" spans="1:46" s="35" customFormat="1" ht="10.5" x14ac:dyDescent="0.35">
      <c r="A47" s="61" t="str">
        <f>'Обобщенный расчет'!B43</f>
        <v>Аренда</v>
      </c>
      <c r="B47" s="21" t="str">
        <f>CHOOSE('Исходные данные'!$O$2,'Исходные данные'!$P$2,'Исходные данные'!$P$3,'Исходные данные'!$P$4,'Исходные данные'!$P$5)</f>
        <v>USD</v>
      </c>
      <c r="C47" s="33">
        <f>C10*'Обобщенный расчет'!$I$43</f>
        <v>178.57142857142858</v>
      </c>
      <c r="D47" s="33">
        <f>D10*'Обобщенный расчет'!$I$43</f>
        <v>178.57142857142858</v>
      </c>
      <c r="E47" s="33">
        <f>E10*'Обобщенный расчет'!$I$43</f>
        <v>178.57142857142858</v>
      </c>
      <c r="F47" s="33">
        <f>F10*'Обобщенный расчет'!$I$43</f>
        <v>178.57142857142858</v>
      </c>
      <c r="G47" s="33">
        <f>G10*'Обобщенный расчет'!$I$43</f>
        <v>178.57142857142858</v>
      </c>
      <c r="H47" s="33">
        <f>H10*'Обобщенный расчет'!$I$43</f>
        <v>178.57142857142858</v>
      </c>
      <c r="I47" s="33">
        <f>I10*'Обобщенный расчет'!$I$43</f>
        <v>178.57142857142858</v>
      </c>
      <c r="J47" s="33">
        <f>J10*'Обобщенный расчет'!$I$43</f>
        <v>178.57142857142858</v>
      </c>
      <c r="K47" s="33">
        <f>K10*'Обобщенный расчет'!$I$43</f>
        <v>178.57142857142858</v>
      </c>
      <c r="L47" s="33">
        <f>L10*'Обобщенный расчет'!$I$43</f>
        <v>178.57142857142858</v>
      </c>
      <c r="M47" s="33">
        <f>M10*'Обобщенный расчет'!$I$43</f>
        <v>178.57142857142858</v>
      </c>
      <c r="N47" s="33">
        <f>N10*'Обобщенный расчет'!$I$43</f>
        <v>178.57142857142858</v>
      </c>
      <c r="O47" s="116">
        <f t="shared" si="107"/>
        <v>2142.8571428571436</v>
      </c>
      <c r="P47" s="116">
        <f t="shared" si="108"/>
        <v>178.57142857142864</v>
      </c>
      <c r="Q47" s="33">
        <f>Q10*'Обобщенный расчет'!$I$43</f>
        <v>178.57142857142858</v>
      </c>
      <c r="R47" s="33">
        <f>R10*'Обобщенный расчет'!$I$43</f>
        <v>178.57142857142858</v>
      </c>
      <c r="S47" s="33">
        <f>S10*'Обобщенный расчет'!$I$43</f>
        <v>178.57142857142858</v>
      </c>
      <c r="T47" s="33">
        <f>T10*'Обобщенный расчет'!$I$43</f>
        <v>178.57142857142858</v>
      </c>
      <c r="U47" s="33">
        <f>U10*'Обобщенный расчет'!$I$43</f>
        <v>178.57142857142858</v>
      </c>
      <c r="V47" s="33">
        <f>V10*'Обобщенный расчет'!$I$43</f>
        <v>178.57142857142858</v>
      </c>
      <c r="W47" s="33">
        <f>W10*'Обобщенный расчет'!$I$43</f>
        <v>178.57142857142858</v>
      </c>
      <c r="X47" s="33">
        <f>X10*'Обобщенный расчет'!$I$43</f>
        <v>178.57142857142858</v>
      </c>
      <c r="Y47" s="33">
        <f>Y10*'Обобщенный расчет'!$I$43</f>
        <v>178.57142857142858</v>
      </c>
      <c r="Z47" s="33">
        <f>Z10*'Обобщенный расчет'!$I$43</f>
        <v>178.57142857142858</v>
      </c>
      <c r="AA47" s="33">
        <f>AA10*'Обобщенный расчет'!$I$43</f>
        <v>178.57142857142858</v>
      </c>
      <c r="AB47" s="33">
        <f>AB10*'Обобщенный расчет'!$I$43</f>
        <v>178.57142857142858</v>
      </c>
      <c r="AC47" s="116">
        <f t="shared" si="109"/>
        <v>2142.8571428571436</v>
      </c>
      <c r="AD47" s="116">
        <f t="shared" si="110"/>
        <v>178.57142857142864</v>
      </c>
      <c r="AE47" s="33">
        <f>AE10*'Обобщенный расчет'!$I$43</f>
        <v>178.57142857142858</v>
      </c>
      <c r="AF47" s="33">
        <f>AF10*'Обобщенный расчет'!$I$43</f>
        <v>178.57142857142858</v>
      </c>
      <c r="AG47" s="33">
        <f>AG10*'Обобщенный расчет'!$I$43</f>
        <v>178.57142857142858</v>
      </c>
      <c r="AH47" s="33">
        <f>AH10*'Обобщенный расчет'!$I$43</f>
        <v>178.57142857142858</v>
      </c>
      <c r="AI47" s="33">
        <f>AI10*'Обобщенный расчет'!$I$43</f>
        <v>178.57142857142858</v>
      </c>
      <c r="AJ47" s="33">
        <f>AJ10*'Обобщенный расчет'!$I$43</f>
        <v>178.57142857142858</v>
      </c>
      <c r="AK47" s="33">
        <f>AK10*'Обобщенный расчет'!$I$43</f>
        <v>178.57142857142858</v>
      </c>
      <c r="AL47" s="33">
        <f>AL10*'Обобщенный расчет'!$I$43</f>
        <v>178.57142857142858</v>
      </c>
      <c r="AM47" s="33">
        <f>AM10*'Обобщенный расчет'!$I$43</f>
        <v>178.57142857142858</v>
      </c>
      <c r="AN47" s="33">
        <f>AN10*'Обобщенный расчет'!$I$43</f>
        <v>178.57142857142858</v>
      </c>
      <c r="AO47" s="33">
        <f>AO10*'Обобщенный расчет'!$I$43</f>
        <v>178.57142857142858</v>
      </c>
      <c r="AP47" s="33">
        <f>AP10*'Обобщенный расчет'!$I$43</f>
        <v>178.57142857142858</v>
      </c>
      <c r="AQ47" s="116">
        <f t="shared" si="111"/>
        <v>2142.8571428571436</v>
      </c>
      <c r="AR47" s="116">
        <f t="shared" si="112"/>
        <v>178.57142857142864</v>
      </c>
      <c r="AS47" s="123">
        <f t="shared" si="113"/>
        <v>6428.5714285714312</v>
      </c>
      <c r="AT47" s="34"/>
    </row>
    <row r="48" spans="1:46" s="38" customFormat="1" ht="10.5" x14ac:dyDescent="0.35">
      <c r="A48" s="62" t="str">
        <f>'Обобщенный расчет'!B44</f>
        <v>Коммунальные платежи</v>
      </c>
      <c r="B48" s="24" t="str">
        <f>CHOOSE('Исходные данные'!$O$2,'Исходные данные'!$P$2,'Исходные данные'!$P$3,'Исходные данные'!$P$4,'Исходные данные'!$P$5)</f>
        <v>USD</v>
      </c>
      <c r="C48" s="36">
        <f>'Обобщенный расчет'!$I$44</f>
        <v>71.428571428571431</v>
      </c>
      <c r="D48" s="36">
        <f>'Обобщенный расчет'!$I$44</f>
        <v>71.428571428571431</v>
      </c>
      <c r="E48" s="36">
        <f>'Обобщенный расчет'!$I$44</f>
        <v>71.428571428571431</v>
      </c>
      <c r="F48" s="36">
        <f>'Обобщенный расчет'!$I$44</f>
        <v>71.428571428571431</v>
      </c>
      <c r="G48" s="36">
        <f>'Обобщенный расчет'!$I$44</f>
        <v>71.428571428571431</v>
      </c>
      <c r="H48" s="36">
        <f>'Обобщенный расчет'!$I$44</f>
        <v>71.428571428571431</v>
      </c>
      <c r="I48" s="36">
        <f>'Обобщенный расчет'!$I$44</f>
        <v>71.428571428571431</v>
      </c>
      <c r="J48" s="36">
        <f>'Обобщенный расчет'!$I$44</f>
        <v>71.428571428571431</v>
      </c>
      <c r="K48" s="36">
        <f>'Обобщенный расчет'!$I$44</f>
        <v>71.428571428571431</v>
      </c>
      <c r="L48" s="36">
        <f>'Обобщенный расчет'!$I$44</f>
        <v>71.428571428571431</v>
      </c>
      <c r="M48" s="36">
        <f>'Обобщенный расчет'!$I$44</f>
        <v>71.428571428571431</v>
      </c>
      <c r="N48" s="36">
        <f>'Обобщенный расчет'!$I$44</f>
        <v>71.428571428571431</v>
      </c>
      <c r="O48" s="53">
        <f t="shared" si="107"/>
        <v>857.14285714285722</v>
      </c>
      <c r="P48" s="53">
        <f t="shared" si="108"/>
        <v>71.428571428571431</v>
      </c>
      <c r="Q48" s="36">
        <f>'Обобщенный расчет'!$I$44</f>
        <v>71.428571428571431</v>
      </c>
      <c r="R48" s="36">
        <f>'Обобщенный расчет'!$I$44</f>
        <v>71.428571428571431</v>
      </c>
      <c r="S48" s="36">
        <f>'Обобщенный расчет'!$I$44</f>
        <v>71.428571428571431</v>
      </c>
      <c r="T48" s="36">
        <f>'Обобщенный расчет'!$I$44</f>
        <v>71.428571428571431</v>
      </c>
      <c r="U48" s="36">
        <f>'Обобщенный расчет'!$I$44</f>
        <v>71.428571428571431</v>
      </c>
      <c r="V48" s="36">
        <f>'Обобщенный расчет'!$I$44</f>
        <v>71.428571428571431</v>
      </c>
      <c r="W48" s="36">
        <f>'Обобщенный расчет'!$I$44</f>
        <v>71.428571428571431</v>
      </c>
      <c r="X48" s="36">
        <f>'Обобщенный расчет'!$I$44</f>
        <v>71.428571428571431</v>
      </c>
      <c r="Y48" s="36">
        <f>'Обобщенный расчет'!$I$44</f>
        <v>71.428571428571431</v>
      </c>
      <c r="Z48" s="36">
        <f>'Обобщенный расчет'!$I$44</f>
        <v>71.428571428571431</v>
      </c>
      <c r="AA48" s="36">
        <f>'Обобщенный расчет'!$I$44</f>
        <v>71.428571428571431</v>
      </c>
      <c r="AB48" s="36">
        <f>'Обобщенный расчет'!$I$44</f>
        <v>71.428571428571431</v>
      </c>
      <c r="AC48" s="53">
        <f t="shared" si="109"/>
        <v>857.14285714285722</v>
      </c>
      <c r="AD48" s="53">
        <f t="shared" si="110"/>
        <v>71.428571428571431</v>
      </c>
      <c r="AE48" s="36">
        <f>'Обобщенный расчет'!$I$44</f>
        <v>71.428571428571431</v>
      </c>
      <c r="AF48" s="36">
        <f>'Обобщенный расчет'!$I$44</f>
        <v>71.428571428571431</v>
      </c>
      <c r="AG48" s="36">
        <f>'Обобщенный расчет'!$I$44</f>
        <v>71.428571428571431</v>
      </c>
      <c r="AH48" s="36">
        <f>'Обобщенный расчет'!$I$44</f>
        <v>71.428571428571431</v>
      </c>
      <c r="AI48" s="36">
        <f>'Обобщенный расчет'!$I$44</f>
        <v>71.428571428571431</v>
      </c>
      <c r="AJ48" s="36">
        <f>'Обобщенный расчет'!$I$44</f>
        <v>71.428571428571431</v>
      </c>
      <c r="AK48" s="36">
        <f>'Обобщенный расчет'!$I$44</f>
        <v>71.428571428571431</v>
      </c>
      <c r="AL48" s="36">
        <f>'Обобщенный расчет'!$I$44</f>
        <v>71.428571428571431</v>
      </c>
      <c r="AM48" s="36">
        <f>'Обобщенный расчет'!$I$44</f>
        <v>71.428571428571431</v>
      </c>
      <c r="AN48" s="36">
        <f>'Обобщенный расчет'!$I$44</f>
        <v>71.428571428571431</v>
      </c>
      <c r="AO48" s="36">
        <f>'Обобщенный расчет'!$I$44</f>
        <v>71.428571428571431</v>
      </c>
      <c r="AP48" s="36">
        <f>'Обобщенный расчет'!$I$44</f>
        <v>71.428571428571431</v>
      </c>
      <c r="AQ48" s="53">
        <f t="shared" si="111"/>
        <v>857.14285714285722</v>
      </c>
      <c r="AR48" s="53">
        <f t="shared" si="112"/>
        <v>71.428571428571431</v>
      </c>
      <c r="AS48" s="123">
        <f t="shared" si="113"/>
        <v>2571.4285714285716</v>
      </c>
      <c r="AT48" s="37"/>
    </row>
    <row r="49" spans="1:46" s="35" customFormat="1" ht="10.5" x14ac:dyDescent="0.35">
      <c r="A49" s="61" t="str">
        <f>'Обобщенный расчет'!B45</f>
        <v>Хозяйственные нужды</v>
      </c>
      <c r="B49" s="21" t="str">
        <f>CHOOSE('Исходные данные'!$O$2,'Исходные данные'!$P$2,'Исходные данные'!$P$3,'Исходные данные'!$P$4,'Исходные данные'!$P$5)</f>
        <v>USD</v>
      </c>
      <c r="C49" s="33">
        <f>'Обобщенный расчет'!$I$45</f>
        <v>71.428571428571431</v>
      </c>
      <c r="D49" s="33">
        <f>'Обобщенный расчет'!$I$45</f>
        <v>71.428571428571431</v>
      </c>
      <c r="E49" s="33">
        <f>'Обобщенный расчет'!$I$45</f>
        <v>71.428571428571431</v>
      </c>
      <c r="F49" s="33">
        <f>'Обобщенный расчет'!$I$45</f>
        <v>71.428571428571431</v>
      </c>
      <c r="G49" s="33">
        <f>'Обобщенный расчет'!$I$45</f>
        <v>71.428571428571431</v>
      </c>
      <c r="H49" s="33">
        <f>'Обобщенный расчет'!$I$45</f>
        <v>71.428571428571431</v>
      </c>
      <c r="I49" s="33">
        <f>'Обобщенный расчет'!$I$45</f>
        <v>71.428571428571431</v>
      </c>
      <c r="J49" s="33">
        <f>'Обобщенный расчет'!$I$45</f>
        <v>71.428571428571431</v>
      </c>
      <c r="K49" s="33">
        <f>'Обобщенный расчет'!$I$45</f>
        <v>71.428571428571431</v>
      </c>
      <c r="L49" s="33">
        <f>'Обобщенный расчет'!$I$45</f>
        <v>71.428571428571431</v>
      </c>
      <c r="M49" s="33">
        <f>'Обобщенный расчет'!$I$45</f>
        <v>71.428571428571431</v>
      </c>
      <c r="N49" s="33">
        <f>'Обобщенный расчет'!$I$45</f>
        <v>71.428571428571431</v>
      </c>
      <c r="O49" s="116">
        <f t="shared" si="107"/>
        <v>857.14285714285722</v>
      </c>
      <c r="P49" s="116">
        <f t="shared" si="108"/>
        <v>71.428571428571431</v>
      </c>
      <c r="Q49" s="33">
        <f>'Обобщенный расчет'!$I$45</f>
        <v>71.428571428571431</v>
      </c>
      <c r="R49" s="33">
        <f>'Обобщенный расчет'!$I$45</f>
        <v>71.428571428571431</v>
      </c>
      <c r="S49" s="33">
        <f>'Обобщенный расчет'!$I$45</f>
        <v>71.428571428571431</v>
      </c>
      <c r="T49" s="33">
        <f>'Обобщенный расчет'!$I$45</f>
        <v>71.428571428571431</v>
      </c>
      <c r="U49" s="33">
        <f>'Обобщенный расчет'!$I$45</f>
        <v>71.428571428571431</v>
      </c>
      <c r="V49" s="33">
        <f>'Обобщенный расчет'!$I$45</f>
        <v>71.428571428571431</v>
      </c>
      <c r="W49" s="33">
        <f>'Обобщенный расчет'!$I$45</f>
        <v>71.428571428571431</v>
      </c>
      <c r="X49" s="33">
        <f>'Обобщенный расчет'!$I$45</f>
        <v>71.428571428571431</v>
      </c>
      <c r="Y49" s="33">
        <f>'Обобщенный расчет'!$I$45</f>
        <v>71.428571428571431</v>
      </c>
      <c r="Z49" s="33">
        <f>'Обобщенный расчет'!$I$45</f>
        <v>71.428571428571431</v>
      </c>
      <c r="AA49" s="33">
        <f>'Обобщенный расчет'!$I$45</f>
        <v>71.428571428571431</v>
      </c>
      <c r="AB49" s="33">
        <f>'Обобщенный расчет'!$I$45</f>
        <v>71.428571428571431</v>
      </c>
      <c r="AC49" s="116">
        <f t="shared" si="109"/>
        <v>857.14285714285722</v>
      </c>
      <c r="AD49" s="116">
        <f t="shared" si="110"/>
        <v>71.428571428571431</v>
      </c>
      <c r="AE49" s="33">
        <f>'Обобщенный расчет'!$I$45</f>
        <v>71.428571428571431</v>
      </c>
      <c r="AF49" s="33">
        <f>'Обобщенный расчет'!$I$45</f>
        <v>71.428571428571431</v>
      </c>
      <c r="AG49" s="33">
        <f>'Обобщенный расчет'!$I$45</f>
        <v>71.428571428571431</v>
      </c>
      <c r="AH49" s="33">
        <f>'Обобщенный расчет'!$I$45</f>
        <v>71.428571428571431</v>
      </c>
      <c r="AI49" s="33">
        <f>'Обобщенный расчет'!$I$45</f>
        <v>71.428571428571431</v>
      </c>
      <c r="AJ49" s="33">
        <f>'Обобщенный расчет'!$I$45</f>
        <v>71.428571428571431</v>
      </c>
      <c r="AK49" s="33">
        <f>'Обобщенный расчет'!$I$45</f>
        <v>71.428571428571431</v>
      </c>
      <c r="AL49" s="33">
        <f>'Обобщенный расчет'!$I$45</f>
        <v>71.428571428571431</v>
      </c>
      <c r="AM49" s="33">
        <f>'Обобщенный расчет'!$I$45</f>
        <v>71.428571428571431</v>
      </c>
      <c r="AN49" s="33">
        <f>'Обобщенный расчет'!$I$45</f>
        <v>71.428571428571431</v>
      </c>
      <c r="AO49" s="33">
        <f>'Обобщенный расчет'!$I$45</f>
        <v>71.428571428571431</v>
      </c>
      <c r="AP49" s="33">
        <f>'Обобщенный расчет'!$I$45</f>
        <v>71.428571428571431</v>
      </c>
      <c r="AQ49" s="116">
        <f t="shared" si="111"/>
        <v>857.14285714285722</v>
      </c>
      <c r="AR49" s="116">
        <f t="shared" si="112"/>
        <v>71.428571428571431</v>
      </c>
      <c r="AS49" s="123">
        <f t="shared" si="113"/>
        <v>2571.4285714285716</v>
      </c>
      <c r="AT49" s="34"/>
    </row>
    <row r="50" spans="1:46" s="38" customFormat="1" ht="10.5" x14ac:dyDescent="0.35">
      <c r="A50" s="62" t="str">
        <f>'Обобщенный расчет'!B46</f>
        <v>Офисные расходы</v>
      </c>
      <c r="B50" s="24" t="str">
        <f>CHOOSE('Исходные данные'!$O$2,'Исходные данные'!$P$2,'Исходные данные'!$P$3,'Исходные данные'!$P$4,'Исходные данные'!$P$5)</f>
        <v>USD</v>
      </c>
      <c r="C50" s="36">
        <f>'Обобщенный расчет'!$I$46</f>
        <v>10.714285714285714</v>
      </c>
      <c r="D50" s="36">
        <f>'Обобщенный расчет'!$I$46</f>
        <v>10.714285714285714</v>
      </c>
      <c r="E50" s="36">
        <f>'Обобщенный расчет'!$I$46</f>
        <v>10.714285714285714</v>
      </c>
      <c r="F50" s="36">
        <f>'Обобщенный расчет'!$I$46</f>
        <v>10.714285714285714</v>
      </c>
      <c r="G50" s="36">
        <f>'Обобщенный расчет'!$I$46</f>
        <v>10.714285714285714</v>
      </c>
      <c r="H50" s="36">
        <f>'Обобщенный расчет'!$I$46</f>
        <v>10.714285714285714</v>
      </c>
      <c r="I50" s="36">
        <f>'Обобщенный расчет'!$I$46</f>
        <v>10.714285714285714</v>
      </c>
      <c r="J50" s="36">
        <f>'Обобщенный расчет'!$I$46</f>
        <v>10.714285714285714</v>
      </c>
      <c r="K50" s="36">
        <f>'Обобщенный расчет'!$I$46</f>
        <v>10.714285714285714</v>
      </c>
      <c r="L50" s="36">
        <f>'Обобщенный расчет'!$I$46</f>
        <v>10.714285714285714</v>
      </c>
      <c r="M50" s="36">
        <f>'Обобщенный расчет'!$I$46</f>
        <v>10.714285714285714</v>
      </c>
      <c r="N50" s="36">
        <f>'Обобщенный расчет'!$I$46</f>
        <v>10.714285714285714</v>
      </c>
      <c r="O50" s="53">
        <f t="shared" si="107"/>
        <v>128.57142857142853</v>
      </c>
      <c r="P50" s="53">
        <f t="shared" si="108"/>
        <v>10.71428571428571</v>
      </c>
      <c r="Q50" s="36">
        <f>'Обобщенный расчет'!$I$46</f>
        <v>10.714285714285714</v>
      </c>
      <c r="R50" s="36">
        <f>'Обобщенный расчет'!$I$46</f>
        <v>10.714285714285714</v>
      </c>
      <c r="S50" s="36">
        <f>'Обобщенный расчет'!$I$46</f>
        <v>10.714285714285714</v>
      </c>
      <c r="T50" s="36">
        <f>'Обобщенный расчет'!$I$46</f>
        <v>10.714285714285714</v>
      </c>
      <c r="U50" s="36">
        <f>'Обобщенный расчет'!$I$46</f>
        <v>10.714285714285714</v>
      </c>
      <c r="V50" s="36">
        <f>'Обобщенный расчет'!$I$46</f>
        <v>10.714285714285714</v>
      </c>
      <c r="W50" s="36">
        <f>'Обобщенный расчет'!$I$46</f>
        <v>10.714285714285714</v>
      </c>
      <c r="X50" s="36">
        <f>'Обобщенный расчет'!$I$46</f>
        <v>10.714285714285714</v>
      </c>
      <c r="Y50" s="36">
        <f>'Обобщенный расчет'!$I$46</f>
        <v>10.714285714285714</v>
      </c>
      <c r="Z50" s="36">
        <f>'Обобщенный расчет'!$I$46</f>
        <v>10.714285714285714</v>
      </c>
      <c r="AA50" s="36">
        <f>'Обобщенный расчет'!$I$46</f>
        <v>10.714285714285714</v>
      </c>
      <c r="AB50" s="36">
        <f>'Обобщенный расчет'!$I$46</f>
        <v>10.714285714285714</v>
      </c>
      <c r="AC50" s="53">
        <f t="shared" si="109"/>
        <v>128.57142857142853</v>
      </c>
      <c r="AD50" s="53">
        <f t="shared" si="110"/>
        <v>10.71428571428571</v>
      </c>
      <c r="AE50" s="36">
        <f>'Обобщенный расчет'!$I$46</f>
        <v>10.714285714285714</v>
      </c>
      <c r="AF50" s="36">
        <f>'Обобщенный расчет'!$I$46</f>
        <v>10.714285714285714</v>
      </c>
      <c r="AG50" s="36">
        <f>'Обобщенный расчет'!$I$46</f>
        <v>10.714285714285714</v>
      </c>
      <c r="AH50" s="36">
        <f>'Обобщенный расчет'!$I$46</f>
        <v>10.714285714285714</v>
      </c>
      <c r="AI50" s="36">
        <f>'Обобщенный расчет'!$I$46</f>
        <v>10.714285714285714</v>
      </c>
      <c r="AJ50" s="36">
        <f>'Обобщенный расчет'!$I$46</f>
        <v>10.714285714285714</v>
      </c>
      <c r="AK50" s="36">
        <f>'Обобщенный расчет'!$I$46</f>
        <v>10.714285714285714</v>
      </c>
      <c r="AL50" s="36">
        <f>'Обобщенный расчет'!$I$46</f>
        <v>10.714285714285714</v>
      </c>
      <c r="AM50" s="36">
        <f>'Обобщенный расчет'!$I$46</f>
        <v>10.714285714285714</v>
      </c>
      <c r="AN50" s="36">
        <f>'Обобщенный расчет'!$I$46</f>
        <v>10.714285714285714</v>
      </c>
      <c r="AO50" s="36">
        <f>'Обобщенный расчет'!$I$46</f>
        <v>10.714285714285714</v>
      </c>
      <c r="AP50" s="36">
        <f>'Обобщенный расчет'!$I$46</f>
        <v>10.714285714285714</v>
      </c>
      <c r="AQ50" s="53">
        <f t="shared" si="111"/>
        <v>128.57142857142853</v>
      </c>
      <c r="AR50" s="53">
        <f t="shared" si="112"/>
        <v>10.71428571428571</v>
      </c>
      <c r="AS50" s="123">
        <f t="shared" si="113"/>
        <v>385.71428571428555</v>
      </c>
      <c r="AT50" s="37"/>
    </row>
    <row r="51" spans="1:46" s="35" customFormat="1" ht="10.5" x14ac:dyDescent="0.35">
      <c r="A51" s="61" t="str">
        <f>'Обобщенный расчет'!B47</f>
        <v>Сервисное обслуживание техники и оборудования</v>
      </c>
      <c r="B51" s="21" t="str">
        <f>CHOOSE('Исходные данные'!$O$2,'Исходные данные'!$P$2,'Исходные данные'!$P$3,'Исходные данные'!$P$4,'Исходные данные'!$P$5)</f>
        <v>USD</v>
      </c>
      <c r="C51" s="33">
        <f>'Обобщенный расчет'!$I$47</f>
        <v>71.428571428571431</v>
      </c>
      <c r="D51" s="33">
        <f>'Обобщенный расчет'!$I$47</f>
        <v>71.428571428571431</v>
      </c>
      <c r="E51" s="33">
        <f>'Обобщенный расчет'!$I$47</f>
        <v>71.428571428571431</v>
      </c>
      <c r="F51" s="33">
        <f>'Обобщенный расчет'!$I$47</f>
        <v>71.428571428571431</v>
      </c>
      <c r="G51" s="33">
        <f>'Обобщенный расчет'!$I$47</f>
        <v>71.428571428571431</v>
      </c>
      <c r="H51" s="33">
        <f>'Обобщенный расчет'!$I$47</f>
        <v>71.428571428571431</v>
      </c>
      <c r="I51" s="33">
        <f>'Обобщенный расчет'!$I$47</f>
        <v>71.428571428571431</v>
      </c>
      <c r="J51" s="33">
        <f>'Обобщенный расчет'!$I$47</f>
        <v>71.428571428571431</v>
      </c>
      <c r="K51" s="33">
        <f>'Обобщенный расчет'!$I$47</f>
        <v>71.428571428571431</v>
      </c>
      <c r="L51" s="33">
        <f>'Обобщенный расчет'!$I$47</f>
        <v>71.428571428571431</v>
      </c>
      <c r="M51" s="33">
        <f>'Обобщенный расчет'!$I$47</f>
        <v>71.428571428571431</v>
      </c>
      <c r="N51" s="33">
        <f>'Обобщенный расчет'!$I$47</f>
        <v>71.428571428571431</v>
      </c>
      <c r="O51" s="116">
        <f t="shared" ref="O51:O58" si="114">SUM(C51:N51)</f>
        <v>857.14285714285722</v>
      </c>
      <c r="P51" s="116">
        <f t="shared" ref="P51:P57" si="115">O51/12</f>
        <v>71.428571428571431</v>
      </c>
      <c r="Q51" s="33">
        <f>'Обобщенный расчет'!$I$47</f>
        <v>71.428571428571431</v>
      </c>
      <c r="R51" s="33">
        <f>'Обобщенный расчет'!$I$47</f>
        <v>71.428571428571431</v>
      </c>
      <c r="S51" s="33">
        <f>'Обобщенный расчет'!$I$47</f>
        <v>71.428571428571431</v>
      </c>
      <c r="T51" s="33">
        <f>'Обобщенный расчет'!$I$47</f>
        <v>71.428571428571431</v>
      </c>
      <c r="U51" s="33">
        <f>'Обобщенный расчет'!$I$47</f>
        <v>71.428571428571431</v>
      </c>
      <c r="V51" s="33">
        <f>'Обобщенный расчет'!$I$47</f>
        <v>71.428571428571431</v>
      </c>
      <c r="W51" s="33">
        <f>'Обобщенный расчет'!$I$47</f>
        <v>71.428571428571431</v>
      </c>
      <c r="X51" s="33">
        <f>'Обобщенный расчет'!$I$47</f>
        <v>71.428571428571431</v>
      </c>
      <c r="Y51" s="33">
        <f>'Обобщенный расчет'!$I$47</f>
        <v>71.428571428571431</v>
      </c>
      <c r="Z51" s="33">
        <f>'Обобщенный расчет'!$I$47</f>
        <v>71.428571428571431</v>
      </c>
      <c r="AA51" s="33">
        <f>'Обобщенный расчет'!$I$47</f>
        <v>71.428571428571431</v>
      </c>
      <c r="AB51" s="33">
        <f>'Обобщенный расчет'!$I$47</f>
        <v>71.428571428571431</v>
      </c>
      <c r="AC51" s="116">
        <f t="shared" ref="AC51:AC57" si="116">SUM(Q51:AB51)</f>
        <v>857.14285714285722</v>
      </c>
      <c r="AD51" s="116">
        <f t="shared" ref="AD51:AD57" si="117">AC51/12</f>
        <v>71.428571428571431</v>
      </c>
      <c r="AE51" s="33">
        <f>'Обобщенный расчет'!$I$47</f>
        <v>71.428571428571431</v>
      </c>
      <c r="AF51" s="33">
        <f>'Обобщенный расчет'!$I$47</f>
        <v>71.428571428571431</v>
      </c>
      <c r="AG51" s="33">
        <f>'Обобщенный расчет'!$I$47</f>
        <v>71.428571428571431</v>
      </c>
      <c r="AH51" s="33">
        <f>'Обобщенный расчет'!$I$47</f>
        <v>71.428571428571431</v>
      </c>
      <c r="AI51" s="33">
        <f>'Обобщенный расчет'!$I$47</f>
        <v>71.428571428571431</v>
      </c>
      <c r="AJ51" s="33">
        <f>'Обобщенный расчет'!$I$47</f>
        <v>71.428571428571431</v>
      </c>
      <c r="AK51" s="33">
        <f>'Обобщенный расчет'!$I$47</f>
        <v>71.428571428571431</v>
      </c>
      <c r="AL51" s="33">
        <f>'Обобщенный расчет'!$I$47</f>
        <v>71.428571428571431</v>
      </c>
      <c r="AM51" s="33">
        <f>'Обобщенный расчет'!$I$47</f>
        <v>71.428571428571431</v>
      </c>
      <c r="AN51" s="33">
        <f>'Обобщенный расчет'!$I$47</f>
        <v>71.428571428571431</v>
      </c>
      <c r="AO51" s="33">
        <f>'Обобщенный расчет'!$I$47</f>
        <v>71.428571428571431</v>
      </c>
      <c r="AP51" s="33">
        <f>'Обобщенный расчет'!$I$47</f>
        <v>71.428571428571431</v>
      </c>
      <c r="AQ51" s="116">
        <f t="shared" ref="AQ51:AQ57" si="118">SUM(AE51:AP51)</f>
        <v>857.14285714285722</v>
      </c>
      <c r="AR51" s="116">
        <f t="shared" ref="AR51:AR57" si="119">AQ51/12</f>
        <v>71.428571428571431</v>
      </c>
      <c r="AS51" s="123">
        <f t="shared" ref="AS51:AS57" si="120">O51+AC51+AQ51</f>
        <v>2571.4285714285716</v>
      </c>
      <c r="AT51" s="34"/>
    </row>
    <row r="52" spans="1:46" s="38" customFormat="1" ht="10.5" x14ac:dyDescent="0.35">
      <c r="A52" s="62" t="str">
        <f>'Обобщенный расчет'!B48</f>
        <v>Охрана</v>
      </c>
      <c r="B52" s="24" t="str">
        <f>CHOOSE('Исходные данные'!$O$2,'Исходные данные'!$P$2,'Исходные данные'!$P$3,'Исходные данные'!$P$4,'Исходные данные'!$P$5)</f>
        <v>USD</v>
      </c>
      <c r="C52" s="36">
        <f>'Обобщенный расчет'!$I$48</f>
        <v>35.714285714285715</v>
      </c>
      <c r="D52" s="36">
        <f>'Обобщенный расчет'!$I$48</f>
        <v>35.714285714285715</v>
      </c>
      <c r="E52" s="36">
        <f>'Обобщенный расчет'!$I$48</f>
        <v>35.714285714285715</v>
      </c>
      <c r="F52" s="36">
        <f>'Обобщенный расчет'!$I$48</f>
        <v>35.714285714285715</v>
      </c>
      <c r="G52" s="36">
        <f>'Обобщенный расчет'!$I$48</f>
        <v>35.714285714285715</v>
      </c>
      <c r="H52" s="36">
        <f>'Обобщенный расчет'!$I$48</f>
        <v>35.714285714285715</v>
      </c>
      <c r="I52" s="36">
        <f>'Обобщенный расчет'!$I$48</f>
        <v>35.714285714285715</v>
      </c>
      <c r="J52" s="36">
        <f>'Обобщенный расчет'!$I$48</f>
        <v>35.714285714285715</v>
      </c>
      <c r="K52" s="36">
        <f>'Обобщенный расчет'!$I$48</f>
        <v>35.714285714285715</v>
      </c>
      <c r="L52" s="36">
        <f>'Обобщенный расчет'!$I$48</f>
        <v>35.714285714285715</v>
      </c>
      <c r="M52" s="36">
        <f>'Обобщенный расчет'!$I$48</f>
        <v>35.714285714285715</v>
      </c>
      <c r="N52" s="36">
        <f>'Обобщенный расчет'!$I$48</f>
        <v>35.714285714285715</v>
      </c>
      <c r="O52" s="53">
        <f t="shared" ref="O52" si="121">SUM(C52:N52)</f>
        <v>428.57142857142861</v>
      </c>
      <c r="P52" s="53">
        <f t="shared" ref="P52" si="122">O52/12</f>
        <v>35.714285714285715</v>
      </c>
      <c r="Q52" s="36">
        <f>'Обобщенный расчет'!$I$48</f>
        <v>35.714285714285715</v>
      </c>
      <c r="R52" s="36">
        <f>'Обобщенный расчет'!$I$48</f>
        <v>35.714285714285715</v>
      </c>
      <c r="S52" s="36">
        <f>'Обобщенный расчет'!$I$48</f>
        <v>35.714285714285715</v>
      </c>
      <c r="T52" s="36">
        <f>'Обобщенный расчет'!$I$48</f>
        <v>35.714285714285715</v>
      </c>
      <c r="U52" s="36">
        <f>'Обобщенный расчет'!$I$48</f>
        <v>35.714285714285715</v>
      </c>
      <c r="V52" s="36">
        <f>'Обобщенный расчет'!$I$48</f>
        <v>35.714285714285715</v>
      </c>
      <c r="W52" s="36">
        <f>'Обобщенный расчет'!$I$48</f>
        <v>35.714285714285715</v>
      </c>
      <c r="X52" s="36">
        <f>'Обобщенный расчет'!$I$48</f>
        <v>35.714285714285715</v>
      </c>
      <c r="Y52" s="36">
        <f>'Обобщенный расчет'!$I$48</f>
        <v>35.714285714285715</v>
      </c>
      <c r="Z52" s="36">
        <f>'Обобщенный расчет'!$I$48</f>
        <v>35.714285714285715</v>
      </c>
      <c r="AA52" s="36">
        <f>'Обобщенный расчет'!$I$48</f>
        <v>35.714285714285715</v>
      </c>
      <c r="AB52" s="36">
        <f>'Обобщенный расчет'!$I$48</f>
        <v>35.714285714285715</v>
      </c>
      <c r="AC52" s="53">
        <f t="shared" ref="AC52" si="123">SUM(Q52:AB52)</f>
        <v>428.57142857142861</v>
      </c>
      <c r="AD52" s="53">
        <f t="shared" ref="AD52" si="124">AC52/12</f>
        <v>35.714285714285715</v>
      </c>
      <c r="AE52" s="36">
        <f>'Обобщенный расчет'!$I$48</f>
        <v>35.714285714285715</v>
      </c>
      <c r="AF52" s="36">
        <f>'Обобщенный расчет'!$I$48</f>
        <v>35.714285714285715</v>
      </c>
      <c r="AG52" s="36">
        <f>'Обобщенный расчет'!$I$48</f>
        <v>35.714285714285715</v>
      </c>
      <c r="AH52" s="36">
        <f>'Обобщенный расчет'!$I$48</f>
        <v>35.714285714285715</v>
      </c>
      <c r="AI52" s="36">
        <f>'Обобщенный расчет'!$I$48</f>
        <v>35.714285714285715</v>
      </c>
      <c r="AJ52" s="36">
        <f>'Обобщенный расчет'!$I$48</f>
        <v>35.714285714285715</v>
      </c>
      <c r="AK52" s="36">
        <f>'Обобщенный расчет'!$I$48</f>
        <v>35.714285714285715</v>
      </c>
      <c r="AL52" s="36">
        <f>'Обобщенный расчет'!$I$48</f>
        <v>35.714285714285715</v>
      </c>
      <c r="AM52" s="36">
        <f>'Обобщенный расчет'!$I$48</f>
        <v>35.714285714285715</v>
      </c>
      <c r="AN52" s="36">
        <f>'Обобщенный расчет'!$I$48</f>
        <v>35.714285714285715</v>
      </c>
      <c r="AO52" s="36">
        <f>'Обобщенный расчет'!$I$48</f>
        <v>35.714285714285715</v>
      </c>
      <c r="AP52" s="36">
        <f>'Обобщенный расчет'!$I$48</f>
        <v>35.714285714285715</v>
      </c>
      <c r="AQ52" s="53">
        <f t="shared" ref="AQ52" si="125">SUM(AE52:AP52)</f>
        <v>428.57142857142861</v>
      </c>
      <c r="AR52" s="53">
        <f t="shared" ref="AR52" si="126">AQ52/12</f>
        <v>35.714285714285715</v>
      </c>
      <c r="AS52" s="123">
        <f t="shared" ref="AS52" si="127">O52+AC52+AQ52</f>
        <v>1285.7142857142858</v>
      </c>
      <c r="AT52" s="37"/>
    </row>
    <row r="53" spans="1:46" s="35" customFormat="1" ht="10.5" x14ac:dyDescent="0.35">
      <c r="A53" s="61" t="str">
        <f>'Обобщенный расчет'!B49</f>
        <v>Услуги связи и интернет</v>
      </c>
      <c r="B53" s="21" t="str">
        <f>CHOOSE('Исходные данные'!$O$2,'Исходные данные'!$P$2,'Исходные данные'!$P$3,'Исходные данные'!$P$4,'Исходные данные'!$P$5)</f>
        <v>USD</v>
      </c>
      <c r="C53" s="33">
        <f>'Обобщенный расчет'!$I$49</f>
        <v>10.714285714285714</v>
      </c>
      <c r="D53" s="33">
        <f>'Обобщенный расчет'!$I$49</f>
        <v>10.714285714285714</v>
      </c>
      <c r="E53" s="33">
        <f>'Обобщенный расчет'!$I$49</f>
        <v>10.714285714285714</v>
      </c>
      <c r="F53" s="33">
        <f>'Обобщенный расчет'!$I$49</f>
        <v>10.714285714285714</v>
      </c>
      <c r="G53" s="33">
        <f>'Обобщенный расчет'!$I$49</f>
        <v>10.714285714285714</v>
      </c>
      <c r="H53" s="33">
        <f>'Обобщенный расчет'!$I$49</f>
        <v>10.714285714285714</v>
      </c>
      <c r="I53" s="33">
        <f>'Обобщенный расчет'!$I$49</f>
        <v>10.714285714285714</v>
      </c>
      <c r="J53" s="33">
        <f>'Обобщенный расчет'!$I$49</f>
        <v>10.714285714285714</v>
      </c>
      <c r="K53" s="33">
        <f>'Обобщенный расчет'!$I$49</f>
        <v>10.714285714285714</v>
      </c>
      <c r="L53" s="33">
        <f>'Обобщенный расчет'!$I$49</f>
        <v>10.714285714285714</v>
      </c>
      <c r="M53" s="33">
        <f>'Обобщенный расчет'!$I$49</f>
        <v>10.714285714285714</v>
      </c>
      <c r="N53" s="33">
        <f>'Обобщенный расчет'!$I$49</f>
        <v>10.714285714285714</v>
      </c>
      <c r="O53" s="116">
        <f t="shared" ref="O53" si="128">SUM(C53:N53)</f>
        <v>128.57142857142853</v>
      </c>
      <c r="P53" s="116">
        <f t="shared" ref="P53" si="129">O53/12</f>
        <v>10.71428571428571</v>
      </c>
      <c r="Q53" s="33">
        <f>'Обобщенный расчет'!$I$49</f>
        <v>10.714285714285714</v>
      </c>
      <c r="R53" s="33">
        <f>'Обобщенный расчет'!$I$49</f>
        <v>10.714285714285714</v>
      </c>
      <c r="S53" s="33">
        <f>'Обобщенный расчет'!$I$49</f>
        <v>10.714285714285714</v>
      </c>
      <c r="T53" s="33">
        <f>'Обобщенный расчет'!$I$49</f>
        <v>10.714285714285714</v>
      </c>
      <c r="U53" s="33">
        <f>'Обобщенный расчет'!$I$49</f>
        <v>10.714285714285714</v>
      </c>
      <c r="V53" s="33">
        <f>'Обобщенный расчет'!$I$49</f>
        <v>10.714285714285714</v>
      </c>
      <c r="W53" s="33">
        <f>'Обобщенный расчет'!$I$49</f>
        <v>10.714285714285714</v>
      </c>
      <c r="X53" s="33">
        <f>'Обобщенный расчет'!$I$49</f>
        <v>10.714285714285714</v>
      </c>
      <c r="Y53" s="33">
        <f>'Обобщенный расчет'!$I$49</f>
        <v>10.714285714285714</v>
      </c>
      <c r="Z53" s="33">
        <f>'Обобщенный расчет'!$I$49</f>
        <v>10.714285714285714</v>
      </c>
      <c r="AA53" s="33">
        <f>'Обобщенный расчет'!$I$49</f>
        <v>10.714285714285714</v>
      </c>
      <c r="AB53" s="33">
        <f>'Обобщенный расчет'!$I$49</f>
        <v>10.714285714285714</v>
      </c>
      <c r="AC53" s="116">
        <f t="shared" ref="AC53" si="130">SUM(Q53:AB53)</f>
        <v>128.57142857142853</v>
      </c>
      <c r="AD53" s="116">
        <f t="shared" ref="AD53" si="131">AC53/12</f>
        <v>10.71428571428571</v>
      </c>
      <c r="AE53" s="33">
        <f>'Обобщенный расчет'!$I$49</f>
        <v>10.714285714285714</v>
      </c>
      <c r="AF53" s="33">
        <f>'Обобщенный расчет'!$I$49</f>
        <v>10.714285714285714</v>
      </c>
      <c r="AG53" s="33">
        <f>'Обобщенный расчет'!$I$49</f>
        <v>10.714285714285714</v>
      </c>
      <c r="AH53" s="33">
        <f>'Обобщенный расчет'!$I$49</f>
        <v>10.714285714285714</v>
      </c>
      <c r="AI53" s="33">
        <f>'Обобщенный расчет'!$I$49</f>
        <v>10.714285714285714</v>
      </c>
      <c r="AJ53" s="33">
        <f>'Обобщенный расчет'!$I$49</f>
        <v>10.714285714285714</v>
      </c>
      <c r="AK53" s="33">
        <f>'Обобщенный расчет'!$I$49</f>
        <v>10.714285714285714</v>
      </c>
      <c r="AL53" s="33">
        <f>'Обобщенный расчет'!$I$49</f>
        <v>10.714285714285714</v>
      </c>
      <c r="AM53" s="33">
        <f>'Обобщенный расчет'!$I$49</f>
        <v>10.714285714285714</v>
      </c>
      <c r="AN53" s="33">
        <f>'Обобщенный расчет'!$I$49</f>
        <v>10.714285714285714</v>
      </c>
      <c r="AO53" s="33">
        <f>'Обобщенный расчет'!$I$49</f>
        <v>10.714285714285714</v>
      </c>
      <c r="AP53" s="33">
        <f>'Обобщенный расчет'!$I$49</f>
        <v>10.714285714285714</v>
      </c>
      <c r="AQ53" s="116">
        <f t="shared" ref="AQ53" si="132">SUM(AE53:AP53)</f>
        <v>128.57142857142853</v>
      </c>
      <c r="AR53" s="116">
        <f t="shared" ref="AR53" si="133">AQ53/12</f>
        <v>10.71428571428571</v>
      </c>
      <c r="AS53" s="123">
        <f t="shared" ref="AS53" si="134">O53+AC53+AQ53</f>
        <v>385.71428571428555</v>
      </c>
      <c r="AT53" s="34"/>
    </row>
    <row r="54" spans="1:46" s="38" customFormat="1" ht="10.5" x14ac:dyDescent="0.35">
      <c r="A54" s="62" t="str">
        <f>'Обобщенный расчет'!B50</f>
        <v>Обновление униформы персонала*</v>
      </c>
      <c r="B54" s="24" t="str">
        <f>CHOOSE('Исходные данные'!$O$2,'Исходные данные'!$P$2,'Исходные данные'!$P$3,'Исходные данные'!$P$4,'Исходные данные'!$P$5)</f>
        <v>USD</v>
      </c>
      <c r="C54" s="36">
        <f>'Обобщенный расчет'!$I$50</f>
        <v>35.714285714285715</v>
      </c>
      <c r="D54" s="36">
        <v>0</v>
      </c>
      <c r="E54" s="36">
        <f>'Обобщенный расчет'!$I$50</f>
        <v>35.714285714285715</v>
      </c>
      <c r="F54" s="36">
        <v>0</v>
      </c>
      <c r="G54" s="36">
        <f>'Обобщенный расчет'!$I$50</f>
        <v>35.714285714285715</v>
      </c>
      <c r="H54" s="36">
        <v>0</v>
      </c>
      <c r="I54" s="36">
        <f>'Обобщенный расчет'!$I$50</f>
        <v>35.714285714285715</v>
      </c>
      <c r="J54" s="36">
        <v>0</v>
      </c>
      <c r="K54" s="36">
        <f>'Обобщенный расчет'!$I$50</f>
        <v>35.714285714285715</v>
      </c>
      <c r="L54" s="36">
        <v>0</v>
      </c>
      <c r="M54" s="36">
        <f>'Обобщенный расчет'!$I$50</f>
        <v>35.714285714285715</v>
      </c>
      <c r="N54" s="36">
        <v>0</v>
      </c>
      <c r="O54" s="53">
        <f t="shared" si="114"/>
        <v>214.28571428571431</v>
      </c>
      <c r="P54" s="53">
        <f t="shared" si="115"/>
        <v>17.857142857142858</v>
      </c>
      <c r="Q54" s="36">
        <f>'Обобщенный расчет'!$I$50</f>
        <v>35.714285714285715</v>
      </c>
      <c r="R54" s="36">
        <v>0</v>
      </c>
      <c r="S54" s="36">
        <f>'Обобщенный расчет'!$I$50</f>
        <v>35.714285714285715</v>
      </c>
      <c r="T54" s="36">
        <v>0</v>
      </c>
      <c r="U54" s="36">
        <f>'Обобщенный расчет'!$I$50</f>
        <v>35.714285714285715</v>
      </c>
      <c r="V54" s="36">
        <v>0</v>
      </c>
      <c r="W54" s="36">
        <f>'Обобщенный расчет'!$I$50</f>
        <v>35.714285714285715</v>
      </c>
      <c r="X54" s="36">
        <v>0</v>
      </c>
      <c r="Y54" s="36">
        <f>'Обобщенный расчет'!$I$50</f>
        <v>35.714285714285715</v>
      </c>
      <c r="Z54" s="36">
        <v>0</v>
      </c>
      <c r="AA54" s="36">
        <f>'Обобщенный расчет'!$I$50</f>
        <v>35.714285714285715</v>
      </c>
      <c r="AB54" s="36">
        <v>0</v>
      </c>
      <c r="AC54" s="53">
        <f t="shared" si="116"/>
        <v>214.28571428571431</v>
      </c>
      <c r="AD54" s="53">
        <f t="shared" si="117"/>
        <v>17.857142857142858</v>
      </c>
      <c r="AE54" s="36">
        <f>'Обобщенный расчет'!$I$50</f>
        <v>35.714285714285715</v>
      </c>
      <c r="AF54" s="36">
        <v>0</v>
      </c>
      <c r="AG54" s="36">
        <f>'Обобщенный расчет'!$I$50</f>
        <v>35.714285714285715</v>
      </c>
      <c r="AH54" s="36">
        <v>0</v>
      </c>
      <c r="AI54" s="36">
        <f>'Обобщенный расчет'!$I$50</f>
        <v>35.714285714285715</v>
      </c>
      <c r="AJ54" s="36">
        <v>0</v>
      </c>
      <c r="AK54" s="36">
        <f>'Обобщенный расчет'!$I$50</f>
        <v>35.714285714285715</v>
      </c>
      <c r="AL54" s="36">
        <v>0</v>
      </c>
      <c r="AM54" s="36">
        <f>'Обобщенный расчет'!$I$50</f>
        <v>35.714285714285715</v>
      </c>
      <c r="AN54" s="36">
        <v>0</v>
      </c>
      <c r="AO54" s="36">
        <f>'Обобщенный расчет'!$I$50</f>
        <v>35.714285714285715</v>
      </c>
      <c r="AP54" s="36">
        <v>0</v>
      </c>
      <c r="AQ54" s="53">
        <f t="shared" si="118"/>
        <v>214.28571428571431</v>
      </c>
      <c r="AR54" s="53">
        <f t="shared" si="119"/>
        <v>17.857142857142858</v>
      </c>
      <c r="AS54" s="123">
        <f t="shared" si="120"/>
        <v>642.85714285714289</v>
      </c>
      <c r="AT54" s="37"/>
    </row>
    <row r="55" spans="1:46" s="35" customFormat="1" ht="10.5" x14ac:dyDescent="0.35">
      <c r="A55" s="61" t="str">
        <f>'Обобщенный расчет'!B51</f>
        <v>Транспортные расходы</v>
      </c>
      <c r="B55" s="21" t="str">
        <f>CHOOSE('Исходные данные'!$O$2,'Исходные данные'!$P$2,'Исходные данные'!$P$3,'Исходные данные'!$P$4,'Исходные данные'!$P$5)</f>
        <v>USD</v>
      </c>
      <c r="C55" s="33">
        <f>'Обобщенный расчет'!$I$51</f>
        <v>71.428571428571431</v>
      </c>
      <c r="D55" s="33">
        <f>'Обобщенный расчет'!$I$51</f>
        <v>71.428571428571431</v>
      </c>
      <c r="E55" s="33">
        <f>'Обобщенный расчет'!$I$51</f>
        <v>71.428571428571431</v>
      </c>
      <c r="F55" s="33">
        <f>'Обобщенный расчет'!$I$51</f>
        <v>71.428571428571431</v>
      </c>
      <c r="G55" s="33">
        <f>'Обобщенный расчет'!$I$51</f>
        <v>71.428571428571431</v>
      </c>
      <c r="H55" s="33">
        <f>'Обобщенный расчет'!$I$51</f>
        <v>71.428571428571431</v>
      </c>
      <c r="I55" s="33">
        <f>'Обобщенный расчет'!$I$51</f>
        <v>71.428571428571431</v>
      </c>
      <c r="J55" s="33">
        <f>'Обобщенный расчет'!$I$51</f>
        <v>71.428571428571431</v>
      </c>
      <c r="K55" s="33">
        <f>'Обобщенный расчет'!$I$51</f>
        <v>71.428571428571431</v>
      </c>
      <c r="L55" s="33">
        <f>'Обобщенный расчет'!$I$51</f>
        <v>71.428571428571431</v>
      </c>
      <c r="M55" s="33">
        <f>'Обобщенный расчет'!$I$51</f>
        <v>71.428571428571431</v>
      </c>
      <c r="N55" s="33">
        <f>'Обобщенный расчет'!$I$51</f>
        <v>71.428571428571431</v>
      </c>
      <c r="O55" s="116">
        <f t="shared" si="114"/>
        <v>857.14285714285722</v>
      </c>
      <c r="P55" s="116">
        <f t="shared" si="115"/>
        <v>71.428571428571431</v>
      </c>
      <c r="Q55" s="33">
        <f>'Обобщенный расчет'!$I$51</f>
        <v>71.428571428571431</v>
      </c>
      <c r="R55" s="33">
        <f>'Обобщенный расчет'!$I$51</f>
        <v>71.428571428571431</v>
      </c>
      <c r="S55" s="33">
        <f>'Обобщенный расчет'!$I$51</f>
        <v>71.428571428571431</v>
      </c>
      <c r="T55" s="33">
        <f>'Обобщенный расчет'!$I$51</f>
        <v>71.428571428571431</v>
      </c>
      <c r="U55" s="33">
        <f>'Обобщенный расчет'!$I$51</f>
        <v>71.428571428571431</v>
      </c>
      <c r="V55" s="33">
        <f>'Обобщенный расчет'!$I$51</f>
        <v>71.428571428571431</v>
      </c>
      <c r="W55" s="33">
        <f>'Обобщенный расчет'!$I$51</f>
        <v>71.428571428571431</v>
      </c>
      <c r="X55" s="33">
        <f>'Обобщенный расчет'!$I$51</f>
        <v>71.428571428571431</v>
      </c>
      <c r="Y55" s="33">
        <f>'Обобщенный расчет'!$I$51</f>
        <v>71.428571428571431</v>
      </c>
      <c r="Z55" s="33">
        <f>'Обобщенный расчет'!$I$51</f>
        <v>71.428571428571431</v>
      </c>
      <c r="AA55" s="33">
        <f>'Обобщенный расчет'!$I$51</f>
        <v>71.428571428571431</v>
      </c>
      <c r="AB55" s="33">
        <f>'Обобщенный расчет'!$I$51</f>
        <v>71.428571428571431</v>
      </c>
      <c r="AC55" s="116">
        <f t="shared" si="116"/>
        <v>857.14285714285722</v>
      </c>
      <c r="AD55" s="116">
        <f t="shared" si="117"/>
        <v>71.428571428571431</v>
      </c>
      <c r="AE55" s="33">
        <f>'Обобщенный расчет'!$I$51</f>
        <v>71.428571428571431</v>
      </c>
      <c r="AF55" s="33">
        <f>'Обобщенный расчет'!$I$51</f>
        <v>71.428571428571431</v>
      </c>
      <c r="AG55" s="33">
        <f>'Обобщенный расчет'!$I$51</f>
        <v>71.428571428571431</v>
      </c>
      <c r="AH55" s="33">
        <f>'Обобщенный расчет'!$I$51</f>
        <v>71.428571428571431</v>
      </c>
      <c r="AI55" s="33">
        <f>'Обобщенный расчет'!$I$51</f>
        <v>71.428571428571431</v>
      </c>
      <c r="AJ55" s="33">
        <f>'Обобщенный расчет'!$I$51</f>
        <v>71.428571428571431</v>
      </c>
      <c r="AK55" s="33">
        <f>'Обобщенный расчет'!$I$51</f>
        <v>71.428571428571431</v>
      </c>
      <c r="AL55" s="33">
        <f>'Обобщенный расчет'!$I$51</f>
        <v>71.428571428571431</v>
      </c>
      <c r="AM55" s="33">
        <f>'Обобщенный расчет'!$I$51</f>
        <v>71.428571428571431</v>
      </c>
      <c r="AN55" s="33">
        <f>'Обобщенный расчет'!$I$51</f>
        <v>71.428571428571431</v>
      </c>
      <c r="AO55" s="33">
        <f>'Обобщенный расчет'!$I$51</f>
        <v>71.428571428571431</v>
      </c>
      <c r="AP55" s="33">
        <f>'Обобщенный расчет'!$I$51</f>
        <v>71.428571428571431</v>
      </c>
      <c r="AQ55" s="116">
        <f t="shared" si="118"/>
        <v>857.14285714285722</v>
      </c>
      <c r="AR55" s="116">
        <f t="shared" si="119"/>
        <v>71.428571428571431</v>
      </c>
      <c r="AS55" s="123">
        <f t="shared" si="120"/>
        <v>2571.4285714285716</v>
      </c>
      <c r="AT55" s="34"/>
    </row>
    <row r="56" spans="1:46" s="38" customFormat="1" ht="10.5" x14ac:dyDescent="0.35">
      <c r="A56" s="62" t="str">
        <f>'Обобщенный расчет'!B52</f>
        <v>Банковское обслуживание</v>
      </c>
      <c r="B56" s="24" t="str">
        <f>CHOOSE('Исходные данные'!$O$2,'Исходные данные'!$P$2,'Исходные данные'!$P$3,'Исходные данные'!$P$4,'Исходные данные'!$P$5)</f>
        <v>USD</v>
      </c>
      <c r="C56" s="36">
        <f>'Обобщенный расчет'!$I$52</f>
        <v>0</v>
      </c>
      <c r="D56" s="36">
        <f>'Обобщенный расчет'!$I$52</f>
        <v>0</v>
      </c>
      <c r="E56" s="36">
        <f>'Обобщенный расчет'!$I$52</f>
        <v>0</v>
      </c>
      <c r="F56" s="36">
        <f>'Обобщенный расчет'!$I$52</f>
        <v>0</v>
      </c>
      <c r="G56" s="36">
        <f>'Обобщенный расчет'!$I$52</f>
        <v>0</v>
      </c>
      <c r="H56" s="36">
        <f>'Обобщенный расчет'!$I$52</f>
        <v>0</v>
      </c>
      <c r="I56" s="36">
        <f>'Обобщенный расчет'!$I$52</f>
        <v>0</v>
      </c>
      <c r="J56" s="36">
        <f>'Обобщенный расчет'!$I$52</f>
        <v>0</v>
      </c>
      <c r="K56" s="36">
        <f>'Обобщенный расчет'!$I$52</f>
        <v>0</v>
      </c>
      <c r="L56" s="36">
        <f>'Обобщенный расчет'!$I$52</f>
        <v>0</v>
      </c>
      <c r="M56" s="36">
        <f>'Обобщенный расчет'!$I$52</f>
        <v>0</v>
      </c>
      <c r="N56" s="36">
        <f>'Обобщенный расчет'!$I$52</f>
        <v>0</v>
      </c>
      <c r="O56" s="53">
        <f t="shared" ref="O56" si="135">SUM(C56:N56)</f>
        <v>0</v>
      </c>
      <c r="P56" s="53">
        <f t="shared" si="115"/>
        <v>0</v>
      </c>
      <c r="Q56" s="36">
        <f>'Обобщенный расчет'!$I$52</f>
        <v>0</v>
      </c>
      <c r="R56" s="36">
        <f>'Обобщенный расчет'!$I$52</f>
        <v>0</v>
      </c>
      <c r="S56" s="36">
        <f>'Обобщенный расчет'!$I$52</f>
        <v>0</v>
      </c>
      <c r="T56" s="36">
        <f>'Обобщенный расчет'!$I$52</f>
        <v>0</v>
      </c>
      <c r="U56" s="36">
        <f>'Обобщенный расчет'!$I$52</f>
        <v>0</v>
      </c>
      <c r="V56" s="36">
        <f>'Обобщенный расчет'!$I$52</f>
        <v>0</v>
      </c>
      <c r="W56" s="36">
        <f>'Обобщенный расчет'!$I$52</f>
        <v>0</v>
      </c>
      <c r="X56" s="36">
        <f>'Обобщенный расчет'!$I$52</f>
        <v>0</v>
      </c>
      <c r="Y56" s="36">
        <f>'Обобщенный расчет'!$I$52</f>
        <v>0</v>
      </c>
      <c r="Z56" s="36">
        <f>'Обобщенный расчет'!$I$52</f>
        <v>0</v>
      </c>
      <c r="AA56" s="36">
        <f>'Обобщенный расчет'!$I$52</f>
        <v>0</v>
      </c>
      <c r="AB56" s="36">
        <f>'Обобщенный расчет'!$I$52</f>
        <v>0</v>
      </c>
      <c r="AC56" s="53">
        <f t="shared" si="116"/>
        <v>0</v>
      </c>
      <c r="AD56" s="53">
        <f t="shared" si="117"/>
        <v>0</v>
      </c>
      <c r="AE56" s="36">
        <f>'Обобщенный расчет'!$I$52</f>
        <v>0</v>
      </c>
      <c r="AF56" s="36">
        <f>'Обобщенный расчет'!$I$52</f>
        <v>0</v>
      </c>
      <c r="AG56" s="36">
        <f>'Обобщенный расчет'!$I$52</f>
        <v>0</v>
      </c>
      <c r="AH56" s="36">
        <f>'Обобщенный расчет'!$I$52</f>
        <v>0</v>
      </c>
      <c r="AI56" s="36">
        <f>'Обобщенный расчет'!$I$52</f>
        <v>0</v>
      </c>
      <c r="AJ56" s="36">
        <f>'Обобщенный расчет'!$I$52</f>
        <v>0</v>
      </c>
      <c r="AK56" s="36">
        <f>'Обобщенный расчет'!$I$52</f>
        <v>0</v>
      </c>
      <c r="AL56" s="36">
        <f>'Обобщенный расчет'!$I$52</f>
        <v>0</v>
      </c>
      <c r="AM56" s="36">
        <f>'Обобщенный расчет'!$I$52</f>
        <v>0</v>
      </c>
      <c r="AN56" s="36">
        <f>'Обобщенный расчет'!$I$52</f>
        <v>0</v>
      </c>
      <c r="AO56" s="36">
        <f>'Обобщенный расчет'!$I$52</f>
        <v>0</v>
      </c>
      <c r="AP56" s="36">
        <f>'Обобщенный расчет'!$I$52</f>
        <v>0</v>
      </c>
      <c r="AQ56" s="53">
        <f t="shared" si="118"/>
        <v>0</v>
      </c>
      <c r="AR56" s="53">
        <f t="shared" si="119"/>
        <v>0</v>
      </c>
      <c r="AS56" s="123">
        <f t="shared" si="120"/>
        <v>0</v>
      </c>
      <c r="AT56" s="37"/>
    </row>
    <row r="57" spans="1:46" s="35" customFormat="1" ht="10.5" x14ac:dyDescent="0.35">
      <c r="A57" s="61" t="str">
        <f>'Обобщенный расчет'!B53</f>
        <v>Налоги</v>
      </c>
      <c r="B57" s="21" t="str">
        <f>CHOOSE('Исходные данные'!$O$2,'Исходные данные'!$P$2,'Исходные данные'!$P$3,'Исходные данные'!$P$4,'Исходные данные'!$P$5)</f>
        <v>USD</v>
      </c>
      <c r="C57" s="33">
        <f>C17*'Обобщенный расчет'!$D$53</f>
        <v>0</v>
      </c>
      <c r="D57" s="33">
        <f>D17*'Обобщенный расчет'!$D$53</f>
        <v>0</v>
      </c>
      <c r="E57" s="33">
        <f>E17*'Обобщенный расчет'!$D$53</f>
        <v>0</v>
      </c>
      <c r="F57" s="33">
        <f>F17*'Обобщенный расчет'!$D$53</f>
        <v>0</v>
      </c>
      <c r="G57" s="33">
        <f>G17*'Обобщенный расчет'!$D$53</f>
        <v>0</v>
      </c>
      <c r="H57" s="33">
        <f>H17*'Обобщенный расчет'!$D$53</f>
        <v>0</v>
      </c>
      <c r="I57" s="33">
        <f>I17*'Обобщенный расчет'!$D$53</f>
        <v>0</v>
      </c>
      <c r="J57" s="33">
        <f>J17*'Обобщенный расчет'!$D$53</f>
        <v>0</v>
      </c>
      <c r="K57" s="33">
        <f>K17*'Обобщенный расчет'!$D$53</f>
        <v>0</v>
      </c>
      <c r="L57" s="33">
        <f>L17*'Обобщенный расчет'!$D$53</f>
        <v>0</v>
      </c>
      <c r="M57" s="33">
        <f>M17*'Обобщенный расчет'!$D$53</f>
        <v>0</v>
      </c>
      <c r="N57" s="33">
        <f>N17*'Обобщенный расчет'!$D$53</f>
        <v>0</v>
      </c>
      <c r="O57" s="116">
        <f t="shared" si="114"/>
        <v>0</v>
      </c>
      <c r="P57" s="116">
        <f t="shared" si="115"/>
        <v>0</v>
      </c>
      <c r="Q57" s="33">
        <f>Q17*'Обобщенный расчет'!$D$53</f>
        <v>0</v>
      </c>
      <c r="R57" s="33">
        <f>R17*'Обобщенный расчет'!$D$53</f>
        <v>0</v>
      </c>
      <c r="S57" s="33">
        <f>S17*'Обобщенный расчет'!$D$53</f>
        <v>0</v>
      </c>
      <c r="T57" s="33">
        <f>T17*'Обобщенный расчет'!$D$53</f>
        <v>0</v>
      </c>
      <c r="U57" s="33">
        <f>U17*'Обобщенный расчет'!$D$53</f>
        <v>0</v>
      </c>
      <c r="V57" s="33">
        <f>V17*'Обобщенный расчет'!$D$53</f>
        <v>0</v>
      </c>
      <c r="W57" s="33">
        <f>W17*'Обобщенный расчет'!$D$53</f>
        <v>0</v>
      </c>
      <c r="X57" s="33">
        <f>X17*'Обобщенный расчет'!$D$53</f>
        <v>0</v>
      </c>
      <c r="Y57" s="33">
        <f>Y17*'Обобщенный расчет'!$D$53</f>
        <v>0</v>
      </c>
      <c r="Z57" s="33">
        <f>Z17*'Обобщенный расчет'!$D$53</f>
        <v>0</v>
      </c>
      <c r="AA57" s="33">
        <f>AA17*'Обобщенный расчет'!$D$53</f>
        <v>0</v>
      </c>
      <c r="AB57" s="33">
        <f>AB17*'Обобщенный расчет'!$D$53</f>
        <v>0</v>
      </c>
      <c r="AC57" s="116">
        <f t="shared" si="116"/>
        <v>0</v>
      </c>
      <c r="AD57" s="116">
        <f t="shared" si="117"/>
        <v>0</v>
      </c>
      <c r="AE57" s="33">
        <f>AE17*'Обобщенный расчет'!$D$53</f>
        <v>0</v>
      </c>
      <c r="AF57" s="33">
        <f>AF17*'Обобщенный расчет'!$D$53</f>
        <v>0</v>
      </c>
      <c r="AG57" s="33">
        <f>AG17*'Обобщенный расчет'!$D$53</f>
        <v>0</v>
      </c>
      <c r="AH57" s="33">
        <f>AH17*'Обобщенный расчет'!$D$53</f>
        <v>0</v>
      </c>
      <c r="AI57" s="33">
        <f>AI17*'Обобщенный расчет'!$D$53</f>
        <v>0</v>
      </c>
      <c r="AJ57" s="33">
        <f>AJ17*'Обобщенный расчет'!$D$53</f>
        <v>0</v>
      </c>
      <c r="AK57" s="33">
        <f>AK17*'Обобщенный расчет'!$D$53</f>
        <v>0</v>
      </c>
      <c r="AL57" s="33">
        <f>AL17*'Обобщенный расчет'!$D$53</f>
        <v>0</v>
      </c>
      <c r="AM57" s="33">
        <f>AM17*'Обобщенный расчет'!$D$53</f>
        <v>0</v>
      </c>
      <c r="AN57" s="33">
        <f>AN17*'Обобщенный расчет'!$D$53</f>
        <v>0</v>
      </c>
      <c r="AO57" s="33">
        <f>AO17*'Обобщенный расчет'!$D$53</f>
        <v>0</v>
      </c>
      <c r="AP57" s="33">
        <f>AP17*'Обобщенный расчет'!$D$53</f>
        <v>0</v>
      </c>
      <c r="AQ57" s="116">
        <f t="shared" si="118"/>
        <v>0</v>
      </c>
      <c r="AR57" s="116">
        <f t="shared" si="119"/>
        <v>0</v>
      </c>
      <c r="AS57" s="123">
        <f t="shared" si="120"/>
        <v>0</v>
      </c>
      <c r="AT57" s="34"/>
    </row>
    <row r="58" spans="1:46" s="38" customFormat="1" ht="10.5" x14ac:dyDescent="0.35">
      <c r="A58" s="62" t="str">
        <f>A34</f>
        <v>Допуск для высотных работ**</v>
      </c>
      <c r="B58" s="24" t="str">
        <f>CHOOSE('Исходные данные'!$O$2,'Исходные данные'!$P$2,'Исходные данные'!$P$3,'Исходные данные'!$P$4,'Исходные данные'!$P$5)</f>
        <v>USD</v>
      </c>
      <c r="C58" s="36">
        <v>0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53">
        <f t="shared" si="114"/>
        <v>0</v>
      </c>
      <c r="P58" s="53">
        <f t="shared" ref="P58" si="136">O58/12</f>
        <v>0</v>
      </c>
      <c r="Q58" s="36">
        <f>$C$34</f>
        <v>71.428571428571431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53">
        <f t="shared" ref="AC58" si="137">SUM(Q58:AB58)</f>
        <v>71.428571428571431</v>
      </c>
      <c r="AD58" s="53">
        <f t="shared" ref="AD58" si="138">AC58/12</f>
        <v>5.9523809523809526</v>
      </c>
      <c r="AE58" s="36">
        <f>$C$34</f>
        <v>71.428571428571431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53">
        <f t="shared" ref="AQ58" si="139">SUM(AE58:AP58)</f>
        <v>71.428571428571431</v>
      </c>
      <c r="AR58" s="53">
        <f t="shared" ref="AR58" si="140">AQ58/12</f>
        <v>5.9523809523809526</v>
      </c>
      <c r="AS58" s="123">
        <f t="shared" ref="AS58" si="141">O58+AC58+AQ58</f>
        <v>142.85714285714286</v>
      </c>
      <c r="AT58" s="37"/>
    </row>
    <row r="59" spans="1:46" s="35" customFormat="1" ht="10.5" x14ac:dyDescent="0.35">
      <c r="A59" s="61" t="str">
        <f>'Обобщенный расчет'!B54</f>
        <v>Прочее</v>
      </c>
      <c r="B59" s="21" t="str">
        <f>CHOOSE('Исходные данные'!$O$2,'Исходные данные'!$P$2,'Исходные данные'!$P$3,'Исходные данные'!$P$4,'Исходные данные'!$P$5)</f>
        <v>USD</v>
      </c>
      <c r="C59" s="33">
        <f>'Обобщенный расчет'!$I$54</f>
        <v>0</v>
      </c>
      <c r="D59" s="33">
        <f>'Обобщенный расчет'!$I$54</f>
        <v>0</v>
      </c>
      <c r="E59" s="33">
        <f>'Обобщенный расчет'!$I$54</f>
        <v>0</v>
      </c>
      <c r="F59" s="33">
        <f>'Обобщенный расчет'!$I$54</f>
        <v>0</v>
      </c>
      <c r="G59" s="33">
        <f>'Обобщенный расчет'!$I$54</f>
        <v>0</v>
      </c>
      <c r="H59" s="33">
        <f>'Обобщенный расчет'!$I$54</f>
        <v>0</v>
      </c>
      <c r="I59" s="33">
        <f>'Обобщенный расчет'!$I$54</f>
        <v>0</v>
      </c>
      <c r="J59" s="33">
        <f>'Обобщенный расчет'!$I$54</f>
        <v>0</v>
      </c>
      <c r="K59" s="33">
        <f>'Обобщенный расчет'!$I$54</f>
        <v>0</v>
      </c>
      <c r="L59" s="33">
        <f>'Обобщенный расчет'!$I$54</f>
        <v>0</v>
      </c>
      <c r="M59" s="33">
        <f>'Обобщенный расчет'!$I$54</f>
        <v>0</v>
      </c>
      <c r="N59" s="33">
        <f>'Обобщенный расчет'!$I$54</f>
        <v>0</v>
      </c>
      <c r="O59" s="116">
        <f t="shared" ref="O59" si="142">SUM(C59:N59)</f>
        <v>0</v>
      </c>
      <c r="P59" s="116">
        <f t="shared" ref="P59" si="143">O59/12</f>
        <v>0</v>
      </c>
      <c r="Q59" s="33">
        <f>'Обобщенный расчет'!$I$54</f>
        <v>0</v>
      </c>
      <c r="R59" s="33">
        <f>'Обобщенный расчет'!$I$54</f>
        <v>0</v>
      </c>
      <c r="S59" s="33">
        <f>'Обобщенный расчет'!$I$54</f>
        <v>0</v>
      </c>
      <c r="T59" s="33">
        <f>'Обобщенный расчет'!$I$54</f>
        <v>0</v>
      </c>
      <c r="U59" s="33">
        <f>'Обобщенный расчет'!$I$54</f>
        <v>0</v>
      </c>
      <c r="V59" s="33">
        <f>'Обобщенный расчет'!$I$54</f>
        <v>0</v>
      </c>
      <c r="W59" s="33">
        <f>'Обобщенный расчет'!$I$54</f>
        <v>0</v>
      </c>
      <c r="X59" s="33">
        <f>'Обобщенный расчет'!$I$54</f>
        <v>0</v>
      </c>
      <c r="Y59" s="33">
        <f>'Обобщенный расчет'!$I$54</f>
        <v>0</v>
      </c>
      <c r="Z59" s="33">
        <f>'Обобщенный расчет'!$I$54</f>
        <v>0</v>
      </c>
      <c r="AA59" s="33">
        <f>'Обобщенный расчет'!$I$54</f>
        <v>0</v>
      </c>
      <c r="AB59" s="33">
        <f>'Обобщенный расчет'!$I$54</f>
        <v>0</v>
      </c>
      <c r="AC59" s="116">
        <f t="shared" ref="AC59" si="144">SUM(Q59:AB59)</f>
        <v>0</v>
      </c>
      <c r="AD59" s="116">
        <f t="shared" ref="AD59" si="145">AC59/12</f>
        <v>0</v>
      </c>
      <c r="AE59" s="33">
        <f>'Обобщенный расчет'!$I$54</f>
        <v>0</v>
      </c>
      <c r="AF59" s="33">
        <f>'Обобщенный расчет'!$I$54</f>
        <v>0</v>
      </c>
      <c r="AG59" s="33">
        <f>'Обобщенный расчет'!$I$54</f>
        <v>0</v>
      </c>
      <c r="AH59" s="33">
        <f>'Обобщенный расчет'!$I$54</f>
        <v>0</v>
      </c>
      <c r="AI59" s="33">
        <f>'Обобщенный расчет'!$I$54</f>
        <v>0</v>
      </c>
      <c r="AJ59" s="33">
        <f>'Обобщенный расчет'!$I$54</f>
        <v>0</v>
      </c>
      <c r="AK59" s="33">
        <f>'Обобщенный расчет'!$I$54</f>
        <v>0</v>
      </c>
      <c r="AL59" s="33">
        <f>'Обобщенный расчет'!$I$54</f>
        <v>0</v>
      </c>
      <c r="AM59" s="33">
        <f>'Обобщенный расчет'!$I$54</f>
        <v>0</v>
      </c>
      <c r="AN59" s="33">
        <f>'Обобщенный расчет'!$I$54</f>
        <v>0</v>
      </c>
      <c r="AO59" s="33">
        <f>'Обобщенный расчет'!$I$54</f>
        <v>0</v>
      </c>
      <c r="AP59" s="33">
        <f>'Обобщенный расчет'!$I$54</f>
        <v>0</v>
      </c>
      <c r="AQ59" s="116">
        <f t="shared" ref="AQ59" si="146">SUM(AE59:AP59)</f>
        <v>0</v>
      </c>
      <c r="AR59" s="116">
        <f t="shared" ref="AR59" si="147">AQ59/12</f>
        <v>0</v>
      </c>
      <c r="AS59" s="123">
        <f t="shared" ref="AS59" si="148">O59+AC59+AQ59</f>
        <v>0</v>
      </c>
      <c r="AT59" s="34"/>
    </row>
    <row r="60" spans="1:46" s="64" customFormat="1" ht="10.5" x14ac:dyDescent="0.35">
      <c r="A60" s="145" t="s">
        <v>10</v>
      </c>
      <c r="B60" s="146" t="str">
        <f>CHOOSE('Исходные данные'!$O$2,'Исходные данные'!$P$2,'Исходные данные'!$P$3,'Исходные данные'!$P$4,'Исходные данные'!$P$5)</f>
        <v>USD</v>
      </c>
      <c r="C60" s="147">
        <f t="shared" ref="C60:AS60" si="149">SUM(C45:C59)</f>
        <v>1548.5714285714284</v>
      </c>
      <c r="D60" s="147">
        <f t="shared" si="149"/>
        <v>1932.8571428571429</v>
      </c>
      <c r="E60" s="147">
        <f t="shared" si="149"/>
        <v>1968.5714285714287</v>
      </c>
      <c r="F60" s="147">
        <f t="shared" si="149"/>
        <v>2352.8571428571436</v>
      </c>
      <c r="G60" s="147">
        <f t="shared" si="149"/>
        <v>2808.5714285714294</v>
      </c>
      <c r="H60" s="147">
        <f t="shared" si="149"/>
        <v>2772.8571428571436</v>
      </c>
      <c r="I60" s="147">
        <f t="shared" si="149"/>
        <v>2808.5714285714294</v>
      </c>
      <c r="J60" s="147">
        <f t="shared" si="149"/>
        <v>2772.8571428571436</v>
      </c>
      <c r="K60" s="147">
        <f t="shared" si="149"/>
        <v>2808.5714285714294</v>
      </c>
      <c r="L60" s="147">
        <f t="shared" si="149"/>
        <v>2772.8571428571436</v>
      </c>
      <c r="M60" s="147">
        <f t="shared" si="149"/>
        <v>3228.5714285714294</v>
      </c>
      <c r="N60" s="147">
        <f t="shared" si="149"/>
        <v>3192.8571428571436</v>
      </c>
      <c r="O60" s="147">
        <f t="shared" si="149"/>
        <v>30968.571428571435</v>
      </c>
      <c r="P60" s="147">
        <f t="shared" si="149"/>
        <v>2580.7142857142862</v>
      </c>
      <c r="Q60" s="147">
        <f t="shared" si="149"/>
        <v>3300.0000000000009</v>
      </c>
      <c r="R60" s="147">
        <f t="shared" si="149"/>
        <v>3192.8571428571436</v>
      </c>
      <c r="S60" s="147">
        <f t="shared" si="149"/>
        <v>3228.5714285714294</v>
      </c>
      <c r="T60" s="147">
        <f t="shared" si="149"/>
        <v>3192.8571428571436</v>
      </c>
      <c r="U60" s="147">
        <f t="shared" si="149"/>
        <v>3228.5714285714294</v>
      </c>
      <c r="V60" s="147">
        <f t="shared" si="149"/>
        <v>3192.8571428571436</v>
      </c>
      <c r="W60" s="147">
        <f t="shared" si="149"/>
        <v>3228.5714285714294</v>
      </c>
      <c r="X60" s="147">
        <f t="shared" si="149"/>
        <v>3612.8571428571436</v>
      </c>
      <c r="Y60" s="147">
        <f t="shared" si="149"/>
        <v>3648.5714285714294</v>
      </c>
      <c r="Z60" s="147">
        <f t="shared" si="149"/>
        <v>3612.8571428571436</v>
      </c>
      <c r="AA60" s="147">
        <f t="shared" si="149"/>
        <v>3648.5714285714294</v>
      </c>
      <c r="AB60" s="147">
        <f t="shared" si="149"/>
        <v>3612.8571428571436</v>
      </c>
      <c r="AC60" s="147">
        <f t="shared" si="149"/>
        <v>40699.999999999993</v>
      </c>
      <c r="AD60" s="147">
        <f t="shared" si="149"/>
        <v>3391.666666666667</v>
      </c>
      <c r="AE60" s="147">
        <f t="shared" si="149"/>
        <v>3720.0000000000009</v>
      </c>
      <c r="AF60" s="147">
        <f t="shared" si="149"/>
        <v>3612.8571428571436</v>
      </c>
      <c r="AG60" s="147">
        <f t="shared" si="149"/>
        <v>3648.5714285714294</v>
      </c>
      <c r="AH60" s="147">
        <f t="shared" si="149"/>
        <v>4032.8571428571436</v>
      </c>
      <c r="AI60" s="147">
        <f t="shared" si="149"/>
        <v>4068.5714285714294</v>
      </c>
      <c r="AJ60" s="147">
        <f t="shared" si="149"/>
        <v>4032.8571428571436</v>
      </c>
      <c r="AK60" s="147">
        <f t="shared" si="149"/>
        <v>4488.5714285714275</v>
      </c>
      <c r="AL60" s="147">
        <f t="shared" si="149"/>
        <v>4452.8571428571422</v>
      </c>
      <c r="AM60" s="147">
        <f t="shared" si="149"/>
        <v>4908.5714285714275</v>
      </c>
      <c r="AN60" s="147">
        <f t="shared" si="149"/>
        <v>5292.8571428571422</v>
      </c>
      <c r="AO60" s="147">
        <f t="shared" si="149"/>
        <v>5328.5714285714275</v>
      </c>
      <c r="AP60" s="147">
        <f t="shared" si="149"/>
        <v>5292.8571428571422</v>
      </c>
      <c r="AQ60" s="147">
        <f t="shared" si="149"/>
        <v>52879.999999999993</v>
      </c>
      <c r="AR60" s="147">
        <f t="shared" si="149"/>
        <v>4406.6666666666661</v>
      </c>
      <c r="AS60" s="147">
        <f t="shared" si="149"/>
        <v>124548.57142857143</v>
      </c>
    </row>
    <row r="61" spans="1:46" s="13" customFormat="1" ht="10.8" thickBot="1" x14ac:dyDescent="0.4">
      <c r="A61" s="40"/>
      <c r="B61" s="39"/>
      <c r="C61" s="42"/>
      <c r="D61" s="42"/>
      <c r="E61" s="42"/>
      <c r="F61" s="42"/>
      <c r="G61" s="42"/>
      <c r="H61" s="42"/>
      <c r="I61" s="40"/>
      <c r="J61" s="40"/>
      <c r="K61" s="40"/>
      <c r="L61" s="40"/>
      <c r="M61" s="40"/>
      <c r="N61" s="40"/>
      <c r="O61" s="119"/>
      <c r="P61" s="119"/>
      <c r="Q61" s="42"/>
      <c r="R61" s="42"/>
      <c r="S61" s="42"/>
      <c r="T61" s="42"/>
      <c r="U61" s="42"/>
      <c r="V61" s="42"/>
      <c r="W61" s="40"/>
      <c r="X61" s="40"/>
      <c r="Y61" s="40"/>
      <c r="Z61" s="40"/>
      <c r="AA61" s="40"/>
      <c r="AB61" s="40"/>
      <c r="AC61" s="119"/>
      <c r="AD61" s="119"/>
      <c r="AE61" s="42"/>
      <c r="AF61" s="42"/>
      <c r="AG61" s="42"/>
      <c r="AH61" s="42"/>
      <c r="AI61" s="42"/>
      <c r="AJ61" s="42"/>
      <c r="AK61" s="40"/>
      <c r="AL61" s="40"/>
      <c r="AM61" s="40"/>
      <c r="AN61" s="40"/>
      <c r="AO61" s="40"/>
      <c r="AP61" s="40"/>
      <c r="AQ61" s="119"/>
      <c r="AR61" s="119"/>
      <c r="AS61" s="40"/>
    </row>
    <row r="62" spans="1:46" s="20" customFormat="1" ht="21.6" thickTop="1" thickBot="1" x14ac:dyDescent="0.4">
      <c r="A62" s="18" t="s">
        <v>11</v>
      </c>
      <c r="B62" s="19"/>
      <c r="C62" s="19" t="str">
        <f t="shared" ref="C62:N62" si="150">C$6</f>
        <v>январь</v>
      </c>
      <c r="D62" s="19" t="str">
        <f t="shared" si="150"/>
        <v>февраль</v>
      </c>
      <c r="E62" s="19" t="str">
        <f t="shared" si="150"/>
        <v>март</v>
      </c>
      <c r="F62" s="19" t="str">
        <f t="shared" si="150"/>
        <v>апрель</v>
      </c>
      <c r="G62" s="19" t="str">
        <f t="shared" si="150"/>
        <v>май</v>
      </c>
      <c r="H62" s="19" t="str">
        <f t="shared" si="150"/>
        <v>июнь</v>
      </c>
      <c r="I62" s="19" t="str">
        <f t="shared" si="150"/>
        <v>июль</v>
      </c>
      <c r="J62" s="19" t="str">
        <f t="shared" si="150"/>
        <v>август</v>
      </c>
      <c r="K62" s="19" t="str">
        <f t="shared" si="150"/>
        <v>сентябрь</v>
      </c>
      <c r="L62" s="19" t="str">
        <f t="shared" si="150"/>
        <v>октябрь</v>
      </c>
      <c r="M62" s="19" t="str">
        <f t="shared" si="150"/>
        <v>ноябрь</v>
      </c>
      <c r="N62" s="19" t="str">
        <f t="shared" si="150"/>
        <v>декабрь</v>
      </c>
      <c r="O62" s="117" t="str">
        <f>O40</f>
        <v>Итого за 1-й год</v>
      </c>
      <c r="P62" s="117" t="str">
        <f>P40</f>
        <v>Среднемесячно за 1-й год</v>
      </c>
      <c r="Q62" s="19" t="str">
        <f t="shared" ref="Q62:AB62" si="151">Q$6</f>
        <v>январь</v>
      </c>
      <c r="R62" s="19" t="str">
        <f t="shared" si="151"/>
        <v>февраль</v>
      </c>
      <c r="S62" s="19" t="str">
        <f t="shared" si="151"/>
        <v>март</v>
      </c>
      <c r="T62" s="19" t="str">
        <f t="shared" si="151"/>
        <v>апрель</v>
      </c>
      <c r="U62" s="19" t="str">
        <f t="shared" si="151"/>
        <v>май</v>
      </c>
      <c r="V62" s="19" t="str">
        <f t="shared" si="151"/>
        <v>июнь</v>
      </c>
      <c r="W62" s="19" t="str">
        <f t="shared" si="151"/>
        <v>июль</v>
      </c>
      <c r="X62" s="19" t="str">
        <f t="shared" si="151"/>
        <v>август</v>
      </c>
      <c r="Y62" s="19" t="str">
        <f t="shared" si="151"/>
        <v>сентябрь</v>
      </c>
      <c r="Z62" s="19" t="str">
        <f t="shared" si="151"/>
        <v>октябрь</v>
      </c>
      <c r="AA62" s="19" t="str">
        <f t="shared" si="151"/>
        <v>ноябрь</v>
      </c>
      <c r="AB62" s="19" t="str">
        <f t="shared" si="151"/>
        <v>декабрь</v>
      </c>
      <c r="AC62" s="117" t="str">
        <f>AC40</f>
        <v>Итого за 2-й год</v>
      </c>
      <c r="AD62" s="117" t="str">
        <f>AD40</f>
        <v>Среднемесячно за 2-й год</v>
      </c>
      <c r="AE62" s="19" t="str">
        <f t="shared" ref="AE62:AP62" si="152">AE$6</f>
        <v>январь</v>
      </c>
      <c r="AF62" s="19" t="str">
        <f t="shared" si="152"/>
        <v>февраль</v>
      </c>
      <c r="AG62" s="19" t="str">
        <f t="shared" si="152"/>
        <v>март</v>
      </c>
      <c r="AH62" s="19" t="str">
        <f t="shared" si="152"/>
        <v>апрель</v>
      </c>
      <c r="AI62" s="19" t="str">
        <f t="shared" si="152"/>
        <v>май</v>
      </c>
      <c r="AJ62" s="19" t="str">
        <f t="shared" si="152"/>
        <v>июнь</v>
      </c>
      <c r="AK62" s="19" t="str">
        <f t="shared" si="152"/>
        <v>июль</v>
      </c>
      <c r="AL62" s="19" t="str">
        <f t="shared" si="152"/>
        <v>август</v>
      </c>
      <c r="AM62" s="19" t="str">
        <f t="shared" si="152"/>
        <v>сентябрь</v>
      </c>
      <c r="AN62" s="19" t="str">
        <f t="shared" si="152"/>
        <v>октябрь</v>
      </c>
      <c r="AO62" s="19" t="str">
        <f t="shared" si="152"/>
        <v>ноябрь</v>
      </c>
      <c r="AP62" s="19" t="str">
        <f t="shared" si="152"/>
        <v>декабрь</v>
      </c>
      <c r="AQ62" s="117" t="str">
        <f>AQ40</f>
        <v>Итого за 3-й год</v>
      </c>
      <c r="AR62" s="117" t="str">
        <f>AR40</f>
        <v>Среднемесячно за 3-й год</v>
      </c>
      <c r="AS62" s="127" t="str">
        <f>AS40</f>
        <v>Итого за три года</v>
      </c>
    </row>
    <row r="63" spans="1:46" s="20" customFormat="1" ht="10.8" thickTop="1" x14ac:dyDescent="0.35">
      <c r="A63" s="43" t="s">
        <v>12</v>
      </c>
      <c r="B63" s="24" t="str">
        <f>CHOOSE('Исходные данные'!$O$2,'Исходные данные'!$P$2,'Исходные данные'!$P$3,'Исходные данные'!$P$4,'Исходные данные'!$P$5)</f>
        <v>USD</v>
      </c>
      <c r="C63" s="139">
        <f t="shared" ref="C63:N63" si="153">C17</f>
        <v>2000</v>
      </c>
      <c r="D63" s="139">
        <f t="shared" si="153"/>
        <v>4000</v>
      </c>
      <c r="E63" s="139">
        <f t="shared" si="153"/>
        <v>4000</v>
      </c>
      <c r="F63" s="139">
        <f t="shared" si="153"/>
        <v>6000</v>
      </c>
      <c r="G63" s="139">
        <f t="shared" si="153"/>
        <v>8000</v>
      </c>
      <c r="H63" s="139">
        <f t="shared" si="153"/>
        <v>8000</v>
      </c>
      <c r="I63" s="139">
        <f t="shared" si="153"/>
        <v>8000</v>
      </c>
      <c r="J63" s="139">
        <f t="shared" si="153"/>
        <v>8000</v>
      </c>
      <c r="K63" s="139">
        <f t="shared" si="153"/>
        <v>8000</v>
      </c>
      <c r="L63" s="139">
        <f t="shared" si="153"/>
        <v>8000</v>
      </c>
      <c r="M63" s="139">
        <f t="shared" si="153"/>
        <v>10000</v>
      </c>
      <c r="N63" s="139">
        <f t="shared" si="153"/>
        <v>10000</v>
      </c>
      <c r="O63" s="140">
        <f t="shared" ref="O63:O69" si="154">SUM(C63:N63)</f>
        <v>84000</v>
      </c>
      <c r="P63" s="140">
        <f t="shared" ref="P63:P69" si="155">O63/12</f>
        <v>7000</v>
      </c>
      <c r="Q63" s="139">
        <f t="shared" ref="Q63:AB63" si="156">Q17</f>
        <v>10000</v>
      </c>
      <c r="R63" s="139">
        <f t="shared" si="156"/>
        <v>10000</v>
      </c>
      <c r="S63" s="139">
        <f t="shared" si="156"/>
        <v>10000</v>
      </c>
      <c r="T63" s="139">
        <f t="shared" si="156"/>
        <v>10000</v>
      </c>
      <c r="U63" s="139">
        <f t="shared" si="156"/>
        <v>10000</v>
      </c>
      <c r="V63" s="139">
        <f t="shared" si="156"/>
        <v>10000</v>
      </c>
      <c r="W63" s="139">
        <f t="shared" si="156"/>
        <v>10000</v>
      </c>
      <c r="X63" s="139">
        <f t="shared" si="156"/>
        <v>12000</v>
      </c>
      <c r="Y63" s="139">
        <f t="shared" si="156"/>
        <v>12000</v>
      </c>
      <c r="Z63" s="139">
        <f t="shared" si="156"/>
        <v>12000</v>
      </c>
      <c r="AA63" s="139">
        <f t="shared" si="156"/>
        <v>12000</v>
      </c>
      <c r="AB63" s="139">
        <f t="shared" si="156"/>
        <v>12000</v>
      </c>
      <c r="AC63" s="140">
        <f t="shared" ref="AC63:AC69" si="157">SUM(Q63:AB63)</f>
        <v>130000</v>
      </c>
      <c r="AD63" s="140">
        <f t="shared" ref="AD63:AD69" si="158">AC63/12</f>
        <v>10833.333333333334</v>
      </c>
      <c r="AE63" s="139">
        <f t="shared" ref="AE63:AP63" si="159">AE17</f>
        <v>12000</v>
      </c>
      <c r="AF63" s="139">
        <f t="shared" si="159"/>
        <v>12000</v>
      </c>
      <c r="AG63" s="139">
        <f t="shared" si="159"/>
        <v>12000</v>
      </c>
      <c r="AH63" s="139">
        <f t="shared" si="159"/>
        <v>14000</v>
      </c>
      <c r="AI63" s="139">
        <f t="shared" si="159"/>
        <v>14000</v>
      </c>
      <c r="AJ63" s="139">
        <f t="shared" si="159"/>
        <v>14000</v>
      </c>
      <c r="AK63" s="139">
        <f t="shared" si="159"/>
        <v>16000</v>
      </c>
      <c r="AL63" s="139">
        <f t="shared" si="159"/>
        <v>16000</v>
      </c>
      <c r="AM63" s="139">
        <f t="shared" si="159"/>
        <v>18000</v>
      </c>
      <c r="AN63" s="139">
        <f t="shared" si="159"/>
        <v>20000</v>
      </c>
      <c r="AO63" s="139">
        <f t="shared" si="159"/>
        <v>20000</v>
      </c>
      <c r="AP63" s="139">
        <f t="shared" si="159"/>
        <v>20000</v>
      </c>
      <c r="AQ63" s="140">
        <f t="shared" ref="AQ63:AQ69" si="160">SUM(AE63:AP63)</f>
        <v>188000</v>
      </c>
      <c r="AR63" s="140">
        <f t="shared" ref="AR63:AR69" si="161">AQ63/12</f>
        <v>15666.666666666666</v>
      </c>
      <c r="AS63" s="141">
        <f t="shared" ref="AS63:AS68" si="162">O63+AC63+AQ63</f>
        <v>402000</v>
      </c>
    </row>
    <row r="64" spans="1:46" s="20" customFormat="1" ht="10.5" x14ac:dyDescent="0.35">
      <c r="A64" s="23" t="str">
        <f>"- Себестоимость"</f>
        <v>- Себестоимость</v>
      </c>
      <c r="B64" s="24" t="str">
        <f>CHOOSE('Исходные данные'!$O$2,'Исходные данные'!$P$2,'Исходные данные'!$P$3,'Исходные данные'!$P$4,'Исходные данные'!$P$5)</f>
        <v>USD</v>
      </c>
      <c r="C64" s="139">
        <f t="shared" ref="C64:N64" si="163">C23</f>
        <v>542.85714285714289</v>
      </c>
      <c r="D64" s="139">
        <f t="shared" si="163"/>
        <v>1085.7142857142858</v>
      </c>
      <c r="E64" s="139">
        <f t="shared" si="163"/>
        <v>1085.7142857142858</v>
      </c>
      <c r="F64" s="139">
        <f t="shared" si="163"/>
        <v>1628.5714285714284</v>
      </c>
      <c r="G64" s="139">
        <f t="shared" si="163"/>
        <v>2171.4285714285716</v>
      </c>
      <c r="H64" s="139">
        <f t="shared" si="163"/>
        <v>2171.4285714285716</v>
      </c>
      <c r="I64" s="139">
        <f t="shared" si="163"/>
        <v>2171.4285714285716</v>
      </c>
      <c r="J64" s="139">
        <f t="shared" si="163"/>
        <v>2171.4285714285716</v>
      </c>
      <c r="K64" s="139">
        <f t="shared" si="163"/>
        <v>2171.4285714285716</v>
      </c>
      <c r="L64" s="139">
        <f t="shared" si="163"/>
        <v>2171.4285714285716</v>
      </c>
      <c r="M64" s="139">
        <f t="shared" si="163"/>
        <v>2714.2857142857142</v>
      </c>
      <c r="N64" s="139">
        <f t="shared" si="163"/>
        <v>2714.2857142857142</v>
      </c>
      <c r="O64" s="140">
        <f t="shared" si="154"/>
        <v>22800.000000000004</v>
      </c>
      <c r="P64" s="140">
        <f t="shared" si="155"/>
        <v>1900.0000000000002</v>
      </c>
      <c r="Q64" s="139">
        <f t="shared" ref="Q64:AB64" si="164">Q23</f>
        <v>2714.2857142857142</v>
      </c>
      <c r="R64" s="139">
        <f t="shared" si="164"/>
        <v>2714.2857142857142</v>
      </c>
      <c r="S64" s="139">
        <f t="shared" si="164"/>
        <v>2714.2857142857142</v>
      </c>
      <c r="T64" s="139">
        <f t="shared" si="164"/>
        <v>2714.2857142857142</v>
      </c>
      <c r="U64" s="139">
        <f t="shared" si="164"/>
        <v>2714.2857142857142</v>
      </c>
      <c r="V64" s="139">
        <f t="shared" si="164"/>
        <v>2714.2857142857142</v>
      </c>
      <c r="W64" s="139">
        <f t="shared" si="164"/>
        <v>2714.2857142857142</v>
      </c>
      <c r="X64" s="139">
        <f t="shared" si="164"/>
        <v>3257.1428571428569</v>
      </c>
      <c r="Y64" s="139">
        <f t="shared" si="164"/>
        <v>3257.1428571428569</v>
      </c>
      <c r="Z64" s="139">
        <f t="shared" si="164"/>
        <v>3257.1428571428569</v>
      </c>
      <c r="AA64" s="139">
        <f t="shared" si="164"/>
        <v>3257.1428571428569</v>
      </c>
      <c r="AB64" s="139">
        <f t="shared" si="164"/>
        <v>3257.1428571428569</v>
      </c>
      <c r="AC64" s="140">
        <f t="shared" si="157"/>
        <v>35285.714285714275</v>
      </c>
      <c r="AD64" s="140">
        <f t="shared" si="158"/>
        <v>2940.4761904761895</v>
      </c>
      <c r="AE64" s="139">
        <f t="shared" ref="AE64:AP64" si="165">AE23</f>
        <v>3257.1428571428569</v>
      </c>
      <c r="AF64" s="139">
        <f t="shared" si="165"/>
        <v>3257.1428571428569</v>
      </c>
      <c r="AG64" s="139">
        <f t="shared" si="165"/>
        <v>3257.1428571428569</v>
      </c>
      <c r="AH64" s="139">
        <f t="shared" si="165"/>
        <v>3799.9999999999995</v>
      </c>
      <c r="AI64" s="139">
        <f t="shared" si="165"/>
        <v>3799.9999999999995</v>
      </c>
      <c r="AJ64" s="139">
        <f t="shared" si="165"/>
        <v>3799.9999999999995</v>
      </c>
      <c r="AK64" s="139">
        <f t="shared" si="165"/>
        <v>4342.8571428571431</v>
      </c>
      <c r="AL64" s="139">
        <f t="shared" si="165"/>
        <v>4342.8571428571431</v>
      </c>
      <c r="AM64" s="139">
        <f t="shared" si="165"/>
        <v>4885.7142857142853</v>
      </c>
      <c r="AN64" s="139">
        <f t="shared" si="165"/>
        <v>5428.5714285714284</v>
      </c>
      <c r="AO64" s="139">
        <f t="shared" si="165"/>
        <v>5428.5714285714284</v>
      </c>
      <c r="AP64" s="139">
        <f t="shared" si="165"/>
        <v>5428.5714285714284</v>
      </c>
      <c r="AQ64" s="140">
        <f t="shared" si="160"/>
        <v>51028.57142857142</v>
      </c>
      <c r="AR64" s="140">
        <f t="shared" si="161"/>
        <v>4252.3809523809514</v>
      </c>
      <c r="AS64" s="141">
        <f t="shared" si="162"/>
        <v>109114.2857142857</v>
      </c>
    </row>
    <row r="65" spans="1:45" s="20" customFormat="1" ht="10.5" x14ac:dyDescent="0.35">
      <c r="A65" s="43" t="s">
        <v>13</v>
      </c>
      <c r="B65" s="24" t="str">
        <f>CHOOSE('Исходные данные'!$O$2,'Исходные данные'!$P$2,'Исходные данные'!$P$3,'Исходные данные'!$P$4,'Исходные данные'!$P$5)</f>
        <v>USD</v>
      </c>
      <c r="C65" s="139">
        <f>C63-C64</f>
        <v>1457.1428571428571</v>
      </c>
      <c r="D65" s="139">
        <f t="shared" ref="D65:N65" si="166">D63-D64</f>
        <v>2914.2857142857142</v>
      </c>
      <c r="E65" s="139">
        <f t="shared" si="166"/>
        <v>2914.2857142857142</v>
      </c>
      <c r="F65" s="139">
        <f t="shared" si="166"/>
        <v>4371.4285714285716</v>
      </c>
      <c r="G65" s="139">
        <f t="shared" si="166"/>
        <v>5828.5714285714284</v>
      </c>
      <c r="H65" s="139">
        <f t="shared" si="166"/>
        <v>5828.5714285714284</v>
      </c>
      <c r="I65" s="139">
        <f t="shared" si="166"/>
        <v>5828.5714285714284</v>
      </c>
      <c r="J65" s="139">
        <f t="shared" si="166"/>
        <v>5828.5714285714284</v>
      </c>
      <c r="K65" s="139">
        <f t="shared" si="166"/>
        <v>5828.5714285714284</v>
      </c>
      <c r="L65" s="139">
        <f t="shared" si="166"/>
        <v>5828.5714285714284</v>
      </c>
      <c r="M65" s="139">
        <f t="shared" si="166"/>
        <v>7285.7142857142862</v>
      </c>
      <c r="N65" s="139">
        <f t="shared" si="166"/>
        <v>7285.7142857142862</v>
      </c>
      <c r="O65" s="140">
        <f t="shared" si="154"/>
        <v>61200</v>
      </c>
      <c r="P65" s="140">
        <f t="shared" si="155"/>
        <v>5100</v>
      </c>
      <c r="Q65" s="139">
        <f>Q63-Q64</f>
        <v>7285.7142857142862</v>
      </c>
      <c r="R65" s="139">
        <f t="shared" ref="R65:AB65" si="167">R63-R64</f>
        <v>7285.7142857142862</v>
      </c>
      <c r="S65" s="139">
        <f t="shared" si="167"/>
        <v>7285.7142857142862</v>
      </c>
      <c r="T65" s="139">
        <f t="shared" si="167"/>
        <v>7285.7142857142862</v>
      </c>
      <c r="U65" s="139">
        <f t="shared" si="167"/>
        <v>7285.7142857142862</v>
      </c>
      <c r="V65" s="139">
        <f t="shared" si="167"/>
        <v>7285.7142857142862</v>
      </c>
      <c r="W65" s="139">
        <f t="shared" si="167"/>
        <v>7285.7142857142862</v>
      </c>
      <c r="X65" s="139">
        <f t="shared" si="167"/>
        <v>8742.8571428571431</v>
      </c>
      <c r="Y65" s="139">
        <f t="shared" si="167"/>
        <v>8742.8571428571431</v>
      </c>
      <c r="Z65" s="139">
        <f t="shared" si="167"/>
        <v>8742.8571428571431</v>
      </c>
      <c r="AA65" s="139">
        <f t="shared" si="167"/>
        <v>8742.8571428571431</v>
      </c>
      <c r="AB65" s="139">
        <f t="shared" si="167"/>
        <v>8742.8571428571431</v>
      </c>
      <c r="AC65" s="140">
        <f t="shared" si="157"/>
        <v>94714.285714285739</v>
      </c>
      <c r="AD65" s="140">
        <f t="shared" si="158"/>
        <v>7892.8571428571449</v>
      </c>
      <c r="AE65" s="139">
        <f>AE63-AE64</f>
        <v>8742.8571428571431</v>
      </c>
      <c r="AF65" s="139">
        <f t="shared" ref="AF65:AP65" si="168">AF63-AF64</f>
        <v>8742.8571428571431</v>
      </c>
      <c r="AG65" s="139">
        <f t="shared" si="168"/>
        <v>8742.8571428571431</v>
      </c>
      <c r="AH65" s="139">
        <f t="shared" si="168"/>
        <v>10200</v>
      </c>
      <c r="AI65" s="139">
        <f t="shared" si="168"/>
        <v>10200</v>
      </c>
      <c r="AJ65" s="139">
        <f t="shared" si="168"/>
        <v>10200</v>
      </c>
      <c r="AK65" s="139">
        <f t="shared" si="168"/>
        <v>11657.142857142857</v>
      </c>
      <c r="AL65" s="139">
        <f t="shared" si="168"/>
        <v>11657.142857142857</v>
      </c>
      <c r="AM65" s="139">
        <f t="shared" si="168"/>
        <v>13114.285714285714</v>
      </c>
      <c r="AN65" s="139">
        <f t="shared" si="168"/>
        <v>14571.428571428572</v>
      </c>
      <c r="AO65" s="139">
        <f t="shared" si="168"/>
        <v>14571.428571428572</v>
      </c>
      <c r="AP65" s="139">
        <f t="shared" si="168"/>
        <v>14571.428571428572</v>
      </c>
      <c r="AQ65" s="140">
        <f t="shared" si="160"/>
        <v>136971.42857142858</v>
      </c>
      <c r="AR65" s="140">
        <f t="shared" si="161"/>
        <v>11414.285714285716</v>
      </c>
      <c r="AS65" s="141">
        <f t="shared" si="162"/>
        <v>292885.71428571432</v>
      </c>
    </row>
    <row r="66" spans="1:45" s="68" customFormat="1" ht="10.5" x14ac:dyDescent="0.35">
      <c r="A66" s="66" t="str">
        <f>"- Инвестиции"</f>
        <v>- Инвестиции</v>
      </c>
      <c r="B66" s="67" t="str">
        <f>CHOOSE('Исходные данные'!$O$2,'Исходные данные'!$P$2,'Исходные данные'!$P$3,'Исходные данные'!$P$4,'Исходные данные'!$P$5)</f>
        <v>USD</v>
      </c>
      <c r="C66" s="142">
        <f>C38-IF(OR(C17-C23-C60&lt;0,B42-(C17-C23-C60)&lt;0),-(C17-C23-C60),0)</f>
        <v>25785.714285714283</v>
      </c>
      <c r="D66" s="142">
        <f>D38-D37</f>
        <v>542.85714285714289</v>
      </c>
      <c r="E66" s="142">
        <f t="shared" ref="E66:N66" si="169">E38-E37</f>
        <v>0</v>
      </c>
      <c r="F66" s="142">
        <f t="shared" si="169"/>
        <v>0</v>
      </c>
      <c r="G66" s="142">
        <f t="shared" si="169"/>
        <v>0</v>
      </c>
      <c r="H66" s="142">
        <f t="shared" si="169"/>
        <v>0</v>
      </c>
      <c r="I66" s="142">
        <f t="shared" si="169"/>
        <v>0</v>
      </c>
      <c r="J66" s="142">
        <f t="shared" si="169"/>
        <v>0</v>
      </c>
      <c r="K66" s="142">
        <f t="shared" si="169"/>
        <v>0</v>
      </c>
      <c r="L66" s="142">
        <f t="shared" si="169"/>
        <v>0</v>
      </c>
      <c r="M66" s="142">
        <f t="shared" si="169"/>
        <v>0</v>
      </c>
      <c r="N66" s="142">
        <f t="shared" si="169"/>
        <v>0</v>
      </c>
      <c r="O66" s="140">
        <f t="shared" si="154"/>
        <v>26328.571428571424</v>
      </c>
      <c r="P66" s="140"/>
      <c r="Q66" s="142">
        <f>Q38-Q37</f>
        <v>0</v>
      </c>
      <c r="R66" s="142">
        <f t="shared" ref="R66:AA66" si="170">R38-R37</f>
        <v>0</v>
      </c>
      <c r="S66" s="142">
        <f t="shared" si="170"/>
        <v>0</v>
      </c>
      <c r="T66" s="142">
        <f t="shared" si="170"/>
        <v>0</v>
      </c>
      <c r="U66" s="142">
        <f t="shared" si="170"/>
        <v>0</v>
      </c>
      <c r="V66" s="142">
        <f t="shared" si="170"/>
        <v>0</v>
      </c>
      <c r="W66" s="142">
        <f t="shared" si="170"/>
        <v>0</v>
      </c>
      <c r="X66" s="142">
        <f t="shared" si="170"/>
        <v>0</v>
      </c>
      <c r="Y66" s="142">
        <f t="shared" si="170"/>
        <v>0</v>
      </c>
      <c r="Z66" s="142">
        <f t="shared" si="170"/>
        <v>0</v>
      </c>
      <c r="AA66" s="142">
        <f t="shared" si="170"/>
        <v>0</v>
      </c>
      <c r="AB66" s="142">
        <f>AB38-AB37</f>
        <v>0</v>
      </c>
      <c r="AC66" s="140">
        <f t="shared" si="157"/>
        <v>0</v>
      </c>
      <c r="AD66" s="140"/>
      <c r="AE66" s="142">
        <f>AE38-AE37</f>
        <v>0</v>
      </c>
      <c r="AF66" s="142">
        <f t="shared" ref="AF66:AO66" si="171">AF38-AF37</f>
        <v>0</v>
      </c>
      <c r="AG66" s="142">
        <f t="shared" si="171"/>
        <v>0</v>
      </c>
      <c r="AH66" s="142">
        <f t="shared" si="171"/>
        <v>0</v>
      </c>
      <c r="AI66" s="142">
        <f t="shared" si="171"/>
        <v>0</v>
      </c>
      <c r="AJ66" s="142">
        <f t="shared" si="171"/>
        <v>0</v>
      </c>
      <c r="AK66" s="142">
        <f t="shared" si="171"/>
        <v>0</v>
      </c>
      <c r="AL66" s="142">
        <f t="shared" si="171"/>
        <v>0</v>
      </c>
      <c r="AM66" s="142">
        <f t="shared" si="171"/>
        <v>0</v>
      </c>
      <c r="AN66" s="142">
        <f t="shared" si="171"/>
        <v>0</v>
      </c>
      <c r="AO66" s="142">
        <f t="shared" si="171"/>
        <v>0</v>
      </c>
      <c r="AP66" s="142">
        <f>AP38-AP37</f>
        <v>0</v>
      </c>
      <c r="AQ66" s="140">
        <f t="shared" si="160"/>
        <v>0</v>
      </c>
      <c r="AR66" s="140"/>
      <c r="AS66" s="141">
        <f t="shared" si="162"/>
        <v>26328.571428571424</v>
      </c>
    </row>
    <row r="67" spans="1:45" s="20" customFormat="1" ht="10.5" x14ac:dyDescent="0.35">
      <c r="A67" s="23" t="str">
        <f>"- Текущие затраты"</f>
        <v>- Текущие затраты</v>
      </c>
      <c r="B67" s="24" t="str">
        <f>CHOOSE('Исходные данные'!$O$2,'Исходные данные'!$P$2,'Исходные данные'!$P$3,'Исходные данные'!$P$4,'Исходные данные'!$P$5)</f>
        <v>USD</v>
      </c>
      <c r="C67" s="139">
        <f t="shared" ref="C67:N67" si="172">C60</f>
        <v>1548.5714285714284</v>
      </c>
      <c r="D67" s="139">
        <f t="shared" si="172"/>
        <v>1932.8571428571429</v>
      </c>
      <c r="E67" s="139">
        <f t="shared" si="172"/>
        <v>1968.5714285714287</v>
      </c>
      <c r="F67" s="139">
        <f t="shared" si="172"/>
        <v>2352.8571428571436</v>
      </c>
      <c r="G67" s="139">
        <f t="shared" si="172"/>
        <v>2808.5714285714294</v>
      </c>
      <c r="H67" s="139">
        <f t="shared" si="172"/>
        <v>2772.8571428571436</v>
      </c>
      <c r="I67" s="139">
        <f t="shared" si="172"/>
        <v>2808.5714285714294</v>
      </c>
      <c r="J67" s="139">
        <f t="shared" si="172"/>
        <v>2772.8571428571436</v>
      </c>
      <c r="K67" s="139">
        <f t="shared" si="172"/>
        <v>2808.5714285714294</v>
      </c>
      <c r="L67" s="139">
        <f t="shared" si="172"/>
        <v>2772.8571428571436</v>
      </c>
      <c r="M67" s="139">
        <f t="shared" si="172"/>
        <v>3228.5714285714294</v>
      </c>
      <c r="N67" s="139">
        <f t="shared" si="172"/>
        <v>3192.8571428571436</v>
      </c>
      <c r="O67" s="140">
        <f t="shared" si="154"/>
        <v>30968.571428571435</v>
      </c>
      <c r="P67" s="140">
        <f t="shared" si="155"/>
        <v>2580.7142857142862</v>
      </c>
      <c r="Q67" s="139">
        <f t="shared" ref="Q67:AB67" si="173">Q60</f>
        <v>3300.0000000000009</v>
      </c>
      <c r="R67" s="139">
        <f t="shared" si="173"/>
        <v>3192.8571428571436</v>
      </c>
      <c r="S67" s="139">
        <f t="shared" si="173"/>
        <v>3228.5714285714294</v>
      </c>
      <c r="T67" s="139">
        <f t="shared" si="173"/>
        <v>3192.8571428571436</v>
      </c>
      <c r="U67" s="139">
        <f t="shared" si="173"/>
        <v>3228.5714285714294</v>
      </c>
      <c r="V67" s="139">
        <f t="shared" si="173"/>
        <v>3192.8571428571436</v>
      </c>
      <c r="W67" s="139">
        <f t="shared" si="173"/>
        <v>3228.5714285714294</v>
      </c>
      <c r="X67" s="139">
        <f t="shared" si="173"/>
        <v>3612.8571428571436</v>
      </c>
      <c r="Y67" s="139">
        <f t="shared" si="173"/>
        <v>3648.5714285714294</v>
      </c>
      <c r="Z67" s="139">
        <f t="shared" si="173"/>
        <v>3612.8571428571436</v>
      </c>
      <c r="AA67" s="139">
        <f t="shared" si="173"/>
        <v>3648.5714285714294</v>
      </c>
      <c r="AB67" s="139">
        <f t="shared" si="173"/>
        <v>3612.8571428571436</v>
      </c>
      <c r="AC67" s="140">
        <f t="shared" si="157"/>
        <v>40700.000000000007</v>
      </c>
      <c r="AD67" s="140">
        <f t="shared" si="158"/>
        <v>3391.6666666666674</v>
      </c>
      <c r="AE67" s="139">
        <f t="shared" ref="AE67:AP67" si="174">AE60</f>
        <v>3720.0000000000009</v>
      </c>
      <c r="AF67" s="139">
        <f t="shared" si="174"/>
        <v>3612.8571428571436</v>
      </c>
      <c r="AG67" s="139">
        <f t="shared" si="174"/>
        <v>3648.5714285714294</v>
      </c>
      <c r="AH67" s="139">
        <f t="shared" si="174"/>
        <v>4032.8571428571436</v>
      </c>
      <c r="AI67" s="139">
        <f t="shared" si="174"/>
        <v>4068.5714285714294</v>
      </c>
      <c r="AJ67" s="139">
        <f t="shared" si="174"/>
        <v>4032.8571428571436</v>
      </c>
      <c r="AK67" s="139">
        <f t="shared" si="174"/>
        <v>4488.5714285714275</v>
      </c>
      <c r="AL67" s="139">
        <f t="shared" si="174"/>
        <v>4452.8571428571422</v>
      </c>
      <c r="AM67" s="139">
        <f t="shared" si="174"/>
        <v>4908.5714285714275</v>
      </c>
      <c r="AN67" s="139">
        <f t="shared" si="174"/>
        <v>5292.8571428571422</v>
      </c>
      <c r="AO67" s="139">
        <f t="shared" si="174"/>
        <v>5328.5714285714275</v>
      </c>
      <c r="AP67" s="139">
        <f t="shared" si="174"/>
        <v>5292.8571428571422</v>
      </c>
      <c r="AQ67" s="140">
        <f t="shared" si="160"/>
        <v>52880.000000000007</v>
      </c>
      <c r="AR67" s="140">
        <f t="shared" si="161"/>
        <v>4406.666666666667</v>
      </c>
      <c r="AS67" s="141">
        <f t="shared" si="162"/>
        <v>124548.57142857145</v>
      </c>
    </row>
    <row r="68" spans="1:45" s="20" customFormat="1" ht="10.5" x14ac:dyDescent="0.35">
      <c r="A68" s="65" t="s">
        <v>35</v>
      </c>
      <c r="B68" s="24" t="str">
        <f>CHOOSE('Исходные данные'!$O$2,'Исходные данные'!$P$2,'Исходные данные'!$P$3,'Исходные данные'!$P$4,'Исходные данные'!$P$5)</f>
        <v>USD</v>
      </c>
      <c r="C68" s="139">
        <f>C65-C66-C67</f>
        <v>-25877.142857142851</v>
      </c>
      <c r="D68" s="139">
        <f>D65-D66-D67</f>
        <v>438.57142857142867</v>
      </c>
      <c r="E68" s="139">
        <f t="shared" ref="E68:N68" si="175">E65-E66-E67</f>
        <v>945.71428571428555</v>
      </c>
      <c r="F68" s="139">
        <f t="shared" si="175"/>
        <v>2018.571428571428</v>
      </c>
      <c r="G68" s="139">
        <f t="shared" si="175"/>
        <v>3019.9999999999991</v>
      </c>
      <c r="H68" s="139">
        <f t="shared" si="175"/>
        <v>3055.7142857142849</v>
      </c>
      <c r="I68" s="139">
        <f t="shared" si="175"/>
        <v>3019.9999999999991</v>
      </c>
      <c r="J68" s="139">
        <f t="shared" si="175"/>
        <v>3055.7142857142849</v>
      </c>
      <c r="K68" s="139">
        <f t="shared" si="175"/>
        <v>3019.9999999999991</v>
      </c>
      <c r="L68" s="139">
        <f t="shared" si="175"/>
        <v>3055.7142857142849</v>
      </c>
      <c r="M68" s="139">
        <f t="shared" si="175"/>
        <v>4057.1428571428569</v>
      </c>
      <c r="N68" s="139">
        <f t="shared" si="175"/>
        <v>4092.8571428571427</v>
      </c>
      <c r="O68" s="140">
        <f t="shared" si="154"/>
        <v>3902.8571428571445</v>
      </c>
      <c r="P68" s="140">
        <f t="shared" si="155"/>
        <v>325.23809523809535</v>
      </c>
      <c r="Q68" s="139">
        <f>Q65-Q66-Q67</f>
        <v>3985.7142857142853</v>
      </c>
      <c r="R68" s="139">
        <f>R65-R66-R67</f>
        <v>4092.8571428571427</v>
      </c>
      <c r="S68" s="139">
        <f t="shared" ref="S68:AB68" si="176">S65-S66-S67</f>
        <v>4057.1428571428569</v>
      </c>
      <c r="T68" s="139">
        <f t="shared" si="176"/>
        <v>4092.8571428571427</v>
      </c>
      <c r="U68" s="139">
        <f t="shared" si="176"/>
        <v>4057.1428571428569</v>
      </c>
      <c r="V68" s="139">
        <f t="shared" si="176"/>
        <v>4092.8571428571427</v>
      </c>
      <c r="W68" s="139">
        <f t="shared" si="176"/>
        <v>4057.1428571428569</v>
      </c>
      <c r="X68" s="139">
        <f t="shared" si="176"/>
        <v>5130</v>
      </c>
      <c r="Y68" s="139">
        <f t="shared" si="176"/>
        <v>5094.2857142857138</v>
      </c>
      <c r="Z68" s="139">
        <f t="shared" si="176"/>
        <v>5130</v>
      </c>
      <c r="AA68" s="139">
        <f t="shared" si="176"/>
        <v>5094.2857142857138</v>
      </c>
      <c r="AB68" s="139">
        <f t="shared" si="176"/>
        <v>5130</v>
      </c>
      <c r="AC68" s="140">
        <f t="shared" si="157"/>
        <v>54014.28571428571</v>
      </c>
      <c r="AD68" s="140">
        <f t="shared" si="158"/>
        <v>4501.1904761904761</v>
      </c>
      <c r="AE68" s="139">
        <f>AE65-AE66-AE67</f>
        <v>5022.8571428571422</v>
      </c>
      <c r="AF68" s="139">
        <f>AF65-AF66-AF67</f>
        <v>5130</v>
      </c>
      <c r="AG68" s="139">
        <f t="shared" ref="AG68:AP68" si="177">AG65-AG66-AG67</f>
        <v>5094.2857142857138</v>
      </c>
      <c r="AH68" s="139">
        <f t="shared" si="177"/>
        <v>6167.1428571428569</v>
      </c>
      <c r="AI68" s="139">
        <f t="shared" si="177"/>
        <v>6131.4285714285706</v>
      </c>
      <c r="AJ68" s="139">
        <f t="shared" si="177"/>
        <v>6167.1428571428569</v>
      </c>
      <c r="AK68" s="139">
        <f t="shared" si="177"/>
        <v>7168.5714285714294</v>
      </c>
      <c r="AL68" s="139">
        <f t="shared" si="177"/>
        <v>7204.2857142857147</v>
      </c>
      <c r="AM68" s="139">
        <f t="shared" si="177"/>
        <v>8205.7142857142862</v>
      </c>
      <c r="AN68" s="139">
        <f t="shared" si="177"/>
        <v>9278.5714285714312</v>
      </c>
      <c r="AO68" s="139">
        <f t="shared" si="177"/>
        <v>9242.8571428571449</v>
      </c>
      <c r="AP68" s="139">
        <f t="shared" si="177"/>
        <v>9278.5714285714312</v>
      </c>
      <c r="AQ68" s="140">
        <f t="shared" si="160"/>
        <v>84091.42857142858</v>
      </c>
      <c r="AR68" s="140">
        <f t="shared" si="161"/>
        <v>7007.6190476190486</v>
      </c>
      <c r="AS68" s="141">
        <f t="shared" si="162"/>
        <v>142008.57142857142</v>
      </c>
    </row>
    <row r="69" spans="1:45" s="20" customFormat="1" ht="10.5" x14ac:dyDescent="0.35">
      <c r="A69" s="65" t="s">
        <v>77</v>
      </c>
      <c r="B69" s="24" t="str">
        <f>CHOOSE('Исходные данные'!$O$2,'Исходные данные'!$P$2,'Исходные данные'!$P$3,'Исходные данные'!$P$4,'Исходные данные'!$P$5)</f>
        <v>USD</v>
      </c>
      <c r="C69" s="139">
        <f t="shared" ref="C69:N69" si="178">C65-C67</f>
        <v>-91.428571428571331</v>
      </c>
      <c r="D69" s="139">
        <f t="shared" si="178"/>
        <v>981.42857142857133</v>
      </c>
      <c r="E69" s="139">
        <f t="shared" si="178"/>
        <v>945.71428571428555</v>
      </c>
      <c r="F69" s="139">
        <f t="shared" si="178"/>
        <v>2018.571428571428</v>
      </c>
      <c r="G69" s="139">
        <f t="shared" si="178"/>
        <v>3019.9999999999991</v>
      </c>
      <c r="H69" s="139">
        <f t="shared" si="178"/>
        <v>3055.7142857142849</v>
      </c>
      <c r="I69" s="139">
        <f t="shared" si="178"/>
        <v>3019.9999999999991</v>
      </c>
      <c r="J69" s="139">
        <f t="shared" si="178"/>
        <v>3055.7142857142849</v>
      </c>
      <c r="K69" s="139">
        <f t="shared" si="178"/>
        <v>3019.9999999999991</v>
      </c>
      <c r="L69" s="139">
        <f t="shared" si="178"/>
        <v>3055.7142857142849</v>
      </c>
      <c r="M69" s="139">
        <f t="shared" si="178"/>
        <v>4057.1428571428569</v>
      </c>
      <c r="N69" s="139">
        <f t="shared" si="178"/>
        <v>4092.8571428571427</v>
      </c>
      <c r="O69" s="140">
        <f t="shared" si="154"/>
        <v>30231.428571428562</v>
      </c>
      <c r="P69" s="140">
        <f t="shared" si="155"/>
        <v>2519.2857142857133</v>
      </c>
      <c r="Q69" s="139">
        <f t="shared" ref="Q69:AB69" si="179">Q65-Q67</f>
        <v>3985.7142857142853</v>
      </c>
      <c r="R69" s="139">
        <f t="shared" si="179"/>
        <v>4092.8571428571427</v>
      </c>
      <c r="S69" s="139">
        <f t="shared" si="179"/>
        <v>4057.1428571428569</v>
      </c>
      <c r="T69" s="139">
        <f t="shared" si="179"/>
        <v>4092.8571428571427</v>
      </c>
      <c r="U69" s="139">
        <f t="shared" si="179"/>
        <v>4057.1428571428569</v>
      </c>
      <c r="V69" s="139">
        <f t="shared" si="179"/>
        <v>4092.8571428571427</v>
      </c>
      <c r="W69" s="139">
        <f t="shared" si="179"/>
        <v>4057.1428571428569</v>
      </c>
      <c r="X69" s="139">
        <f t="shared" si="179"/>
        <v>5130</v>
      </c>
      <c r="Y69" s="139">
        <f t="shared" si="179"/>
        <v>5094.2857142857138</v>
      </c>
      <c r="Z69" s="139">
        <f t="shared" si="179"/>
        <v>5130</v>
      </c>
      <c r="AA69" s="139">
        <f t="shared" si="179"/>
        <v>5094.2857142857138</v>
      </c>
      <c r="AB69" s="139">
        <f t="shared" si="179"/>
        <v>5130</v>
      </c>
      <c r="AC69" s="140">
        <f t="shared" si="157"/>
        <v>54014.28571428571</v>
      </c>
      <c r="AD69" s="140">
        <f t="shared" si="158"/>
        <v>4501.1904761904761</v>
      </c>
      <c r="AE69" s="139">
        <f t="shared" ref="AE69:AP69" si="180">AE65-AE67</f>
        <v>5022.8571428571422</v>
      </c>
      <c r="AF69" s="139">
        <f t="shared" si="180"/>
        <v>5130</v>
      </c>
      <c r="AG69" s="139">
        <f t="shared" si="180"/>
        <v>5094.2857142857138</v>
      </c>
      <c r="AH69" s="139">
        <f t="shared" si="180"/>
        <v>6167.1428571428569</v>
      </c>
      <c r="AI69" s="139">
        <f t="shared" si="180"/>
        <v>6131.4285714285706</v>
      </c>
      <c r="AJ69" s="139">
        <f t="shared" si="180"/>
        <v>6167.1428571428569</v>
      </c>
      <c r="AK69" s="139">
        <f t="shared" si="180"/>
        <v>7168.5714285714294</v>
      </c>
      <c r="AL69" s="139">
        <f t="shared" si="180"/>
        <v>7204.2857142857147</v>
      </c>
      <c r="AM69" s="139">
        <f t="shared" si="180"/>
        <v>8205.7142857142862</v>
      </c>
      <c r="AN69" s="139">
        <f t="shared" si="180"/>
        <v>9278.5714285714312</v>
      </c>
      <c r="AO69" s="139">
        <f t="shared" si="180"/>
        <v>9242.8571428571449</v>
      </c>
      <c r="AP69" s="139">
        <f t="shared" si="180"/>
        <v>9278.5714285714312</v>
      </c>
      <c r="AQ69" s="140">
        <f t="shared" si="160"/>
        <v>84091.42857142858</v>
      </c>
      <c r="AR69" s="140">
        <f t="shared" si="161"/>
        <v>7007.6190476190486</v>
      </c>
      <c r="AS69" s="143"/>
    </row>
    <row r="70" spans="1:45" s="20" customFormat="1" ht="10.5" x14ac:dyDescent="0.35">
      <c r="A70" s="23" t="str">
        <f>"- Прибыль (убытки) накопительным итогом"</f>
        <v>- Прибыль (убытки) накопительным итогом</v>
      </c>
      <c r="B70" s="24" t="str">
        <f>CHOOSE('Исходные данные'!$O$2,'Исходные данные'!$P$2,'Исходные данные'!$P$3,'Исходные данные'!$P$4,'Исходные данные'!$P$5)</f>
        <v>USD</v>
      </c>
      <c r="C70" s="139">
        <f t="shared" ref="C70:N70" si="181">C68+IF(ISNUMBER(B70),B70,0)</f>
        <v>-25877.142857142851</v>
      </c>
      <c r="D70" s="139">
        <f t="shared" si="181"/>
        <v>-25438.571428571424</v>
      </c>
      <c r="E70" s="139">
        <f t="shared" si="181"/>
        <v>-24492.857142857138</v>
      </c>
      <c r="F70" s="139">
        <f t="shared" si="181"/>
        <v>-22474.28571428571</v>
      </c>
      <c r="G70" s="139">
        <f t="shared" si="181"/>
        <v>-19454.28571428571</v>
      </c>
      <c r="H70" s="139">
        <f t="shared" si="181"/>
        <v>-16398.571428571424</v>
      </c>
      <c r="I70" s="139">
        <f t="shared" si="181"/>
        <v>-13378.571428571424</v>
      </c>
      <c r="J70" s="139">
        <f t="shared" si="181"/>
        <v>-10322.857142857139</v>
      </c>
      <c r="K70" s="139">
        <f t="shared" si="181"/>
        <v>-7302.8571428571404</v>
      </c>
      <c r="L70" s="139">
        <f t="shared" si="181"/>
        <v>-4247.1428571428551</v>
      </c>
      <c r="M70" s="139">
        <f t="shared" si="181"/>
        <v>-189.99999999999818</v>
      </c>
      <c r="N70" s="139">
        <f t="shared" si="181"/>
        <v>3902.8571428571445</v>
      </c>
      <c r="O70" s="140">
        <f>N70</f>
        <v>3902.8571428571445</v>
      </c>
      <c r="P70" s="140"/>
      <c r="Q70" s="139">
        <f>Q68+IF(ISNUMBER(N70),N70,0)</f>
        <v>7888.5714285714294</v>
      </c>
      <c r="R70" s="139">
        <f t="shared" ref="R70:AB70" si="182">R68+IF(ISNUMBER(Q70),Q70,0)</f>
        <v>11981.428571428572</v>
      </c>
      <c r="S70" s="139">
        <f t="shared" si="182"/>
        <v>16038.571428571429</v>
      </c>
      <c r="T70" s="139">
        <f t="shared" si="182"/>
        <v>20131.428571428572</v>
      </c>
      <c r="U70" s="139">
        <f t="shared" si="182"/>
        <v>24188.571428571428</v>
      </c>
      <c r="V70" s="139">
        <f t="shared" si="182"/>
        <v>28281.428571428569</v>
      </c>
      <c r="W70" s="139">
        <f t="shared" si="182"/>
        <v>32338.571428571428</v>
      </c>
      <c r="X70" s="139">
        <f t="shared" si="182"/>
        <v>37468.571428571428</v>
      </c>
      <c r="Y70" s="139">
        <f t="shared" si="182"/>
        <v>42562.857142857145</v>
      </c>
      <c r="Z70" s="139">
        <f t="shared" si="182"/>
        <v>47692.857142857145</v>
      </c>
      <c r="AA70" s="139">
        <f t="shared" si="182"/>
        <v>52787.142857142855</v>
      </c>
      <c r="AB70" s="139">
        <f t="shared" si="182"/>
        <v>57917.142857142855</v>
      </c>
      <c r="AC70" s="140">
        <f>AB70</f>
        <v>57917.142857142855</v>
      </c>
      <c r="AD70" s="140"/>
      <c r="AE70" s="139">
        <f>AE68+IF(ISNUMBER(AB70),AB70,0)</f>
        <v>62940</v>
      </c>
      <c r="AF70" s="139">
        <f t="shared" ref="AF70:AP70" si="183">AF68+IF(ISNUMBER(AE70),AE70,0)</f>
        <v>68070</v>
      </c>
      <c r="AG70" s="139">
        <f t="shared" si="183"/>
        <v>73164.28571428571</v>
      </c>
      <c r="AH70" s="139">
        <f t="shared" si="183"/>
        <v>79331.428571428565</v>
      </c>
      <c r="AI70" s="139">
        <f t="shared" si="183"/>
        <v>85462.85714285713</v>
      </c>
      <c r="AJ70" s="139">
        <f t="shared" si="183"/>
        <v>91629.999999999985</v>
      </c>
      <c r="AK70" s="139">
        <f t="shared" si="183"/>
        <v>98798.57142857142</v>
      </c>
      <c r="AL70" s="139">
        <f t="shared" si="183"/>
        <v>106002.85714285713</v>
      </c>
      <c r="AM70" s="139">
        <f t="shared" si="183"/>
        <v>114208.57142857142</v>
      </c>
      <c r="AN70" s="139">
        <f t="shared" si="183"/>
        <v>123487.14285714286</v>
      </c>
      <c r="AO70" s="139">
        <f t="shared" si="183"/>
        <v>132730</v>
      </c>
      <c r="AP70" s="139">
        <f t="shared" si="183"/>
        <v>142008.57142857142</v>
      </c>
      <c r="AQ70" s="140">
        <f>AP70</f>
        <v>142008.57142857142</v>
      </c>
      <c r="AR70" s="140"/>
      <c r="AS70" s="143"/>
    </row>
    <row r="71" spans="1:45" s="20" customFormat="1" ht="10.8" thickBot="1" x14ac:dyDescent="0.45">
      <c r="O71" s="56"/>
      <c r="P71" s="56"/>
      <c r="AC71" s="56"/>
      <c r="AD71" s="56"/>
      <c r="AQ71" s="56"/>
      <c r="AR71" s="56"/>
    </row>
    <row r="72" spans="1:45" s="20" customFormat="1" ht="21.6" thickTop="1" thickBot="1" x14ac:dyDescent="0.4">
      <c r="A72" s="18" t="s">
        <v>14</v>
      </c>
      <c r="B72" s="19"/>
      <c r="C72" s="19" t="str">
        <f t="shared" ref="C72:N72" si="184">C$6</f>
        <v>январь</v>
      </c>
      <c r="D72" s="19" t="str">
        <f t="shared" si="184"/>
        <v>февраль</v>
      </c>
      <c r="E72" s="19" t="str">
        <f t="shared" si="184"/>
        <v>март</v>
      </c>
      <c r="F72" s="19" t="str">
        <f t="shared" si="184"/>
        <v>апрель</v>
      </c>
      <c r="G72" s="19" t="str">
        <f t="shared" si="184"/>
        <v>май</v>
      </c>
      <c r="H72" s="19" t="str">
        <f t="shared" si="184"/>
        <v>июнь</v>
      </c>
      <c r="I72" s="19" t="str">
        <f t="shared" si="184"/>
        <v>июль</v>
      </c>
      <c r="J72" s="19" t="str">
        <f t="shared" si="184"/>
        <v>август</v>
      </c>
      <c r="K72" s="19" t="str">
        <f t="shared" si="184"/>
        <v>сентябрь</v>
      </c>
      <c r="L72" s="19" t="str">
        <f t="shared" si="184"/>
        <v>октябрь</v>
      </c>
      <c r="M72" s="19" t="str">
        <f t="shared" si="184"/>
        <v>ноябрь</v>
      </c>
      <c r="N72" s="19" t="str">
        <f t="shared" si="184"/>
        <v>декабрь</v>
      </c>
      <c r="O72" s="117" t="str">
        <f>O62</f>
        <v>Итого за 1-й год</v>
      </c>
      <c r="P72" s="117" t="str">
        <f>P62</f>
        <v>Среднемесячно за 1-й год</v>
      </c>
      <c r="Q72" s="19" t="str">
        <f t="shared" ref="Q72:AB72" si="185">Q$6</f>
        <v>январь</v>
      </c>
      <c r="R72" s="19" t="str">
        <f t="shared" si="185"/>
        <v>февраль</v>
      </c>
      <c r="S72" s="19" t="str">
        <f t="shared" si="185"/>
        <v>март</v>
      </c>
      <c r="T72" s="19" t="str">
        <f t="shared" si="185"/>
        <v>апрель</v>
      </c>
      <c r="U72" s="19" t="str">
        <f t="shared" si="185"/>
        <v>май</v>
      </c>
      <c r="V72" s="19" t="str">
        <f t="shared" si="185"/>
        <v>июнь</v>
      </c>
      <c r="W72" s="19" t="str">
        <f t="shared" si="185"/>
        <v>июль</v>
      </c>
      <c r="X72" s="19" t="str">
        <f t="shared" si="185"/>
        <v>август</v>
      </c>
      <c r="Y72" s="19" t="str">
        <f t="shared" si="185"/>
        <v>сентябрь</v>
      </c>
      <c r="Z72" s="19" t="str">
        <f t="shared" si="185"/>
        <v>октябрь</v>
      </c>
      <c r="AA72" s="19" t="str">
        <f t="shared" si="185"/>
        <v>ноябрь</v>
      </c>
      <c r="AB72" s="19" t="str">
        <f t="shared" si="185"/>
        <v>декабрь</v>
      </c>
      <c r="AC72" s="117" t="str">
        <f>AC62</f>
        <v>Итого за 2-й год</v>
      </c>
      <c r="AD72" s="117" t="str">
        <f>AD62</f>
        <v>Среднемесячно за 2-й год</v>
      </c>
      <c r="AE72" s="19" t="str">
        <f t="shared" ref="AE72:AP72" si="186">AE$6</f>
        <v>январь</v>
      </c>
      <c r="AF72" s="19" t="str">
        <f t="shared" si="186"/>
        <v>февраль</v>
      </c>
      <c r="AG72" s="19" t="str">
        <f t="shared" si="186"/>
        <v>март</v>
      </c>
      <c r="AH72" s="19" t="str">
        <f t="shared" si="186"/>
        <v>апрель</v>
      </c>
      <c r="AI72" s="19" t="str">
        <f t="shared" si="186"/>
        <v>май</v>
      </c>
      <c r="AJ72" s="19" t="str">
        <f t="shared" si="186"/>
        <v>июнь</v>
      </c>
      <c r="AK72" s="19" t="str">
        <f t="shared" si="186"/>
        <v>июль</v>
      </c>
      <c r="AL72" s="19" t="str">
        <f t="shared" si="186"/>
        <v>август</v>
      </c>
      <c r="AM72" s="19" t="str">
        <f t="shared" si="186"/>
        <v>сентябрь</v>
      </c>
      <c r="AN72" s="19" t="str">
        <f t="shared" si="186"/>
        <v>октябрь</v>
      </c>
      <c r="AO72" s="19" t="str">
        <f t="shared" si="186"/>
        <v>ноябрь</v>
      </c>
      <c r="AP72" s="19" t="str">
        <f t="shared" si="186"/>
        <v>декабрь</v>
      </c>
      <c r="AQ72" s="117" t="str">
        <f>AQ62</f>
        <v>Итого за 3-й год</v>
      </c>
      <c r="AR72" s="117" t="str">
        <f>AR62</f>
        <v>Среднемесячно за 3-й год</v>
      </c>
      <c r="AS72" s="127" t="str">
        <f>AS62</f>
        <v>Итого за три года</v>
      </c>
    </row>
    <row r="73" spans="1:45" s="35" customFormat="1" ht="10.8" thickTop="1" x14ac:dyDescent="0.35">
      <c r="A73" s="44" t="s">
        <v>15</v>
      </c>
      <c r="B73" s="24" t="str">
        <f>CHOOSE('Исходные данные'!$O$2,'Исходные данные'!$P$2,'Исходные данные'!$P$3,'Исходные данные'!$P$4,'Исходные данные'!$P$5)</f>
        <v>USD</v>
      </c>
      <c r="C73" s="36">
        <f t="shared" ref="C73:N73" si="187">C63</f>
        <v>2000</v>
      </c>
      <c r="D73" s="36">
        <f t="shared" si="187"/>
        <v>4000</v>
      </c>
      <c r="E73" s="36">
        <f t="shared" si="187"/>
        <v>4000</v>
      </c>
      <c r="F73" s="36">
        <f t="shared" si="187"/>
        <v>6000</v>
      </c>
      <c r="G73" s="36">
        <f t="shared" si="187"/>
        <v>8000</v>
      </c>
      <c r="H73" s="36">
        <f t="shared" si="187"/>
        <v>8000</v>
      </c>
      <c r="I73" s="36">
        <f t="shared" si="187"/>
        <v>8000</v>
      </c>
      <c r="J73" s="36">
        <f t="shared" si="187"/>
        <v>8000</v>
      </c>
      <c r="K73" s="36">
        <f t="shared" si="187"/>
        <v>8000</v>
      </c>
      <c r="L73" s="36">
        <f t="shared" si="187"/>
        <v>8000</v>
      </c>
      <c r="M73" s="36">
        <f t="shared" si="187"/>
        <v>10000</v>
      </c>
      <c r="N73" s="36">
        <f t="shared" si="187"/>
        <v>10000</v>
      </c>
      <c r="O73" s="53">
        <f>SUM(C73:N73)</f>
        <v>84000</v>
      </c>
      <c r="P73" s="53">
        <f>O73/12</f>
        <v>7000</v>
      </c>
      <c r="Q73" s="36">
        <f t="shared" ref="Q73:AB73" si="188">Q63</f>
        <v>10000</v>
      </c>
      <c r="R73" s="36">
        <f t="shared" si="188"/>
        <v>10000</v>
      </c>
      <c r="S73" s="36">
        <f t="shared" si="188"/>
        <v>10000</v>
      </c>
      <c r="T73" s="36">
        <f t="shared" si="188"/>
        <v>10000</v>
      </c>
      <c r="U73" s="36">
        <f t="shared" si="188"/>
        <v>10000</v>
      </c>
      <c r="V73" s="36">
        <f t="shared" si="188"/>
        <v>10000</v>
      </c>
      <c r="W73" s="36">
        <f t="shared" si="188"/>
        <v>10000</v>
      </c>
      <c r="X73" s="36">
        <f t="shared" si="188"/>
        <v>12000</v>
      </c>
      <c r="Y73" s="36">
        <f t="shared" si="188"/>
        <v>12000</v>
      </c>
      <c r="Z73" s="36">
        <f t="shared" si="188"/>
        <v>12000</v>
      </c>
      <c r="AA73" s="36">
        <f t="shared" si="188"/>
        <v>12000</v>
      </c>
      <c r="AB73" s="36">
        <f t="shared" si="188"/>
        <v>12000</v>
      </c>
      <c r="AC73" s="53">
        <f>SUM(Q73:AB73)</f>
        <v>130000</v>
      </c>
      <c r="AD73" s="53">
        <f>AC73/12</f>
        <v>10833.333333333334</v>
      </c>
      <c r="AE73" s="36">
        <f t="shared" ref="AE73:AP73" si="189">AE63</f>
        <v>12000</v>
      </c>
      <c r="AF73" s="36">
        <f t="shared" si="189"/>
        <v>12000</v>
      </c>
      <c r="AG73" s="36">
        <f t="shared" si="189"/>
        <v>12000</v>
      </c>
      <c r="AH73" s="36">
        <f t="shared" si="189"/>
        <v>14000</v>
      </c>
      <c r="AI73" s="36">
        <f t="shared" si="189"/>
        <v>14000</v>
      </c>
      <c r="AJ73" s="36">
        <f t="shared" si="189"/>
        <v>14000</v>
      </c>
      <c r="AK73" s="36">
        <f t="shared" si="189"/>
        <v>16000</v>
      </c>
      <c r="AL73" s="36">
        <f t="shared" si="189"/>
        <v>16000</v>
      </c>
      <c r="AM73" s="36">
        <f t="shared" si="189"/>
        <v>18000</v>
      </c>
      <c r="AN73" s="36">
        <f t="shared" si="189"/>
        <v>20000</v>
      </c>
      <c r="AO73" s="36">
        <f t="shared" si="189"/>
        <v>20000</v>
      </c>
      <c r="AP73" s="36">
        <f t="shared" si="189"/>
        <v>20000</v>
      </c>
      <c r="AQ73" s="53">
        <f>SUM(AE73:AP73)</f>
        <v>188000</v>
      </c>
      <c r="AR73" s="53">
        <f>AQ73/12</f>
        <v>15666.666666666666</v>
      </c>
      <c r="AS73" s="134">
        <f>O73+AC73+AQ73</f>
        <v>402000</v>
      </c>
    </row>
    <row r="74" spans="1:45" s="35" customFormat="1" ht="10.5" x14ac:dyDescent="0.35">
      <c r="A74" s="44" t="s">
        <v>1</v>
      </c>
      <c r="B74" s="24" t="str">
        <f>CHOOSE('Исходные данные'!$O$2,'Исходные данные'!$P$2,'Исходные данные'!$P$3,'Исходные данные'!$P$4,'Исходные данные'!$P$5)</f>
        <v>USD</v>
      </c>
      <c r="C74" s="135">
        <f t="shared" ref="C74:N74" si="190">-(C60+C23)</f>
        <v>-2091.4285714285716</v>
      </c>
      <c r="D74" s="135">
        <f t="shared" si="190"/>
        <v>-3018.5714285714284</v>
      </c>
      <c r="E74" s="135">
        <f t="shared" si="190"/>
        <v>-3054.2857142857147</v>
      </c>
      <c r="F74" s="135">
        <f t="shared" si="190"/>
        <v>-3981.428571428572</v>
      </c>
      <c r="G74" s="135">
        <f t="shared" si="190"/>
        <v>-4980.0000000000009</v>
      </c>
      <c r="H74" s="135">
        <f t="shared" si="190"/>
        <v>-4944.2857142857156</v>
      </c>
      <c r="I74" s="135">
        <f t="shared" si="190"/>
        <v>-4980.0000000000009</v>
      </c>
      <c r="J74" s="135">
        <f t="shared" si="190"/>
        <v>-4944.2857142857156</v>
      </c>
      <c r="K74" s="135">
        <f t="shared" si="190"/>
        <v>-4980.0000000000009</v>
      </c>
      <c r="L74" s="135">
        <f t="shared" si="190"/>
        <v>-4944.2857142857156</v>
      </c>
      <c r="M74" s="135">
        <f t="shared" si="190"/>
        <v>-5942.8571428571431</v>
      </c>
      <c r="N74" s="135">
        <f t="shared" si="190"/>
        <v>-5907.1428571428578</v>
      </c>
      <c r="O74" s="53">
        <f>SUM(C74:N74)</f>
        <v>-53768.571428571435</v>
      </c>
      <c r="P74" s="53">
        <f>O74/12</f>
        <v>-4480.7142857142862</v>
      </c>
      <c r="Q74" s="135">
        <f t="shared" ref="Q74:AB74" si="191">-(Q60+Q23)</f>
        <v>-6014.2857142857156</v>
      </c>
      <c r="R74" s="135">
        <f t="shared" si="191"/>
        <v>-5907.1428571428578</v>
      </c>
      <c r="S74" s="135">
        <f t="shared" si="191"/>
        <v>-5942.8571428571431</v>
      </c>
      <c r="T74" s="135">
        <f t="shared" si="191"/>
        <v>-5907.1428571428578</v>
      </c>
      <c r="U74" s="135">
        <f t="shared" si="191"/>
        <v>-5942.8571428571431</v>
      </c>
      <c r="V74" s="135">
        <f t="shared" si="191"/>
        <v>-5907.1428571428578</v>
      </c>
      <c r="W74" s="135">
        <f t="shared" si="191"/>
        <v>-5942.8571428571431</v>
      </c>
      <c r="X74" s="135">
        <f t="shared" si="191"/>
        <v>-6870</v>
      </c>
      <c r="Y74" s="135">
        <f t="shared" si="191"/>
        <v>-6905.7142857142862</v>
      </c>
      <c r="Z74" s="135">
        <f t="shared" si="191"/>
        <v>-6870</v>
      </c>
      <c r="AA74" s="135">
        <f t="shared" si="191"/>
        <v>-6905.7142857142862</v>
      </c>
      <c r="AB74" s="135">
        <f t="shared" si="191"/>
        <v>-6870</v>
      </c>
      <c r="AC74" s="53">
        <f>SUM(Q74:AB74)</f>
        <v>-75985.71428571429</v>
      </c>
      <c r="AD74" s="53">
        <f>AC74/12</f>
        <v>-6332.1428571428578</v>
      </c>
      <c r="AE74" s="135">
        <f t="shared" ref="AE74:AP74" si="192">-(AE60+AE23)</f>
        <v>-6977.1428571428578</v>
      </c>
      <c r="AF74" s="135">
        <f t="shared" si="192"/>
        <v>-6870</v>
      </c>
      <c r="AG74" s="135">
        <f t="shared" si="192"/>
        <v>-6905.7142857142862</v>
      </c>
      <c r="AH74" s="135">
        <f t="shared" si="192"/>
        <v>-7832.8571428571431</v>
      </c>
      <c r="AI74" s="135">
        <f t="shared" si="192"/>
        <v>-7868.5714285714294</v>
      </c>
      <c r="AJ74" s="135">
        <f t="shared" si="192"/>
        <v>-7832.8571428571431</v>
      </c>
      <c r="AK74" s="135">
        <f t="shared" si="192"/>
        <v>-8831.4285714285706</v>
      </c>
      <c r="AL74" s="135">
        <f t="shared" si="192"/>
        <v>-8795.7142857142862</v>
      </c>
      <c r="AM74" s="135">
        <f t="shared" si="192"/>
        <v>-9794.2857142857138</v>
      </c>
      <c r="AN74" s="135">
        <f t="shared" si="192"/>
        <v>-10721.428571428571</v>
      </c>
      <c r="AO74" s="135">
        <f t="shared" si="192"/>
        <v>-10757.142857142855</v>
      </c>
      <c r="AP74" s="135">
        <f t="shared" si="192"/>
        <v>-10721.428571428571</v>
      </c>
      <c r="AQ74" s="53">
        <f>SUM(AE74:AP74)</f>
        <v>-103908.57142857142</v>
      </c>
      <c r="AR74" s="53">
        <f>AQ74/12</f>
        <v>-8659.0476190476184</v>
      </c>
      <c r="AS74" s="134">
        <f>O74+AC74+AQ74</f>
        <v>-233662.85714285716</v>
      </c>
    </row>
    <row r="75" spans="1:45" s="35" customFormat="1" ht="10.5" x14ac:dyDescent="0.35">
      <c r="A75" s="44" t="s">
        <v>16</v>
      </c>
      <c r="B75" s="24" t="str">
        <f>CHOOSE('Исходные данные'!$O$2,'Исходные данные'!$P$2,'Исходные данные'!$P$3,'Исходные данные'!$P$4,'Исходные данные'!$P$5)</f>
        <v>USD</v>
      </c>
      <c r="C75" s="135">
        <f t="shared" ref="C75:N75" si="193">SUM(C73:C74)</f>
        <v>-91.428571428571558</v>
      </c>
      <c r="D75" s="36">
        <f t="shared" si="193"/>
        <v>981.42857142857156</v>
      </c>
      <c r="E75" s="36">
        <f t="shared" si="193"/>
        <v>945.71428571428532</v>
      </c>
      <c r="F75" s="36">
        <f t="shared" si="193"/>
        <v>2018.571428571428</v>
      </c>
      <c r="G75" s="36">
        <f t="shared" si="193"/>
        <v>3019.9999999999991</v>
      </c>
      <c r="H75" s="36">
        <f t="shared" si="193"/>
        <v>3055.7142857142844</v>
      </c>
      <c r="I75" s="36">
        <f t="shared" si="193"/>
        <v>3019.9999999999991</v>
      </c>
      <c r="J75" s="135">
        <f t="shared" si="193"/>
        <v>3055.7142857142844</v>
      </c>
      <c r="K75" s="135">
        <f t="shared" si="193"/>
        <v>3019.9999999999991</v>
      </c>
      <c r="L75" s="135">
        <f t="shared" si="193"/>
        <v>3055.7142857142844</v>
      </c>
      <c r="M75" s="135">
        <f t="shared" si="193"/>
        <v>4057.1428571428569</v>
      </c>
      <c r="N75" s="135">
        <f t="shared" si="193"/>
        <v>4092.8571428571422</v>
      </c>
      <c r="O75" s="53">
        <f>SUM(C75:N75)</f>
        <v>30231.428571428562</v>
      </c>
      <c r="P75" s="53">
        <f>O75/12</f>
        <v>2519.2857142857133</v>
      </c>
      <c r="Q75" s="135">
        <f t="shared" ref="Q75:AB75" si="194">SUM(Q73:Q74)</f>
        <v>3985.7142857142844</v>
      </c>
      <c r="R75" s="36">
        <f t="shared" si="194"/>
        <v>4092.8571428571422</v>
      </c>
      <c r="S75" s="36">
        <f t="shared" si="194"/>
        <v>4057.1428571428569</v>
      </c>
      <c r="T75" s="36">
        <f t="shared" si="194"/>
        <v>4092.8571428571422</v>
      </c>
      <c r="U75" s="36">
        <f t="shared" si="194"/>
        <v>4057.1428571428569</v>
      </c>
      <c r="V75" s="36">
        <f t="shared" si="194"/>
        <v>4092.8571428571422</v>
      </c>
      <c r="W75" s="36">
        <f t="shared" si="194"/>
        <v>4057.1428571428569</v>
      </c>
      <c r="X75" s="135">
        <f t="shared" si="194"/>
        <v>5130</v>
      </c>
      <c r="Y75" s="135">
        <f t="shared" si="194"/>
        <v>5094.2857142857138</v>
      </c>
      <c r="Z75" s="135">
        <f t="shared" si="194"/>
        <v>5130</v>
      </c>
      <c r="AA75" s="135">
        <f t="shared" si="194"/>
        <v>5094.2857142857138</v>
      </c>
      <c r="AB75" s="135">
        <f t="shared" si="194"/>
        <v>5130</v>
      </c>
      <c r="AC75" s="53">
        <f>SUM(Q75:AB75)</f>
        <v>54014.28571428571</v>
      </c>
      <c r="AD75" s="53">
        <f>AC75/12</f>
        <v>4501.1904761904761</v>
      </c>
      <c r="AE75" s="135">
        <f t="shared" ref="AE75:AP75" si="195">SUM(AE73:AE74)</f>
        <v>5022.8571428571422</v>
      </c>
      <c r="AF75" s="36">
        <f t="shared" si="195"/>
        <v>5130</v>
      </c>
      <c r="AG75" s="36">
        <f t="shared" si="195"/>
        <v>5094.2857142857138</v>
      </c>
      <c r="AH75" s="36">
        <f t="shared" si="195"/>
        <v>6167.1428571428569</v>
      </c>
      <c r="AI75" s="36">
        <f t="shared" si="195"/>
        <v>6131.4285714285706</v>
      </c>
      <c r="AJ75" s="36">
        <f t="shared" si="195"/>
        <v>6167.1428571428569</v>
      </c>
      <c r="AK75" s="36">
        <f t="shared" si="195"/>
        <v>7168.5714285714294</v>
      </c>
      <c r="AL75" s="135">
        <f t="shared" si="195"/>
        <v>7204.2857142857138</v>
      </c>
      <c r="AM75" s="135">
        <f t="shared" si="195"/>
        <v>8205.7142857142862</v>
      </c>
      <c r="AN75" s="135">
        <f t="shared" si="195"/>
        <v>9278.5714285714294</v>
      </c>
      <c r="AO75" s="135">
        <f t="shared" si="195"/>
        <v>9242.8571428571449</v>
      </c>
      <c r="AP75" s="135">
        <f t="shared" si="195"/>
        <v>9278.5714285714294</v>
      </c>
      <c r="AQ75" s="53">
        <f>SUM(AE75:AP75)</f>
        <v>84091.42857142858</v>
      </c>
      <c r="AR75" s="53">
        <f>AQ75/12</f>
        <v>7007.6190476190486</v>
      </c>
      <c r="AS75" s="134">
        <f>O75+AC75+AQ75</f>
        <v>168337.14285714284</v>
      </c>
    </row>
    <row r="76" spans="1:45" s="35" customFormat="1" ht="10.5" x14ac:dyDescent="0.35">
      <c r="A76" s="44" t="s">
        <v>17</v>
      </c>
      <c r="B76" s="24" t="str">
        <f>CHOOSE('Исходные данные'!$O$2,'Исходные данные'!$P$2,'Исходные данные'!$P$3,'Исходные данные'!$P$4,'Исходные данные'!$P$5)</f>
        <v>USD</v>
      </c>
      <c r="C76" s="135">
        <f>-(C38)-IF(OR(C17-C23-C60&lt;0,B42-(C17-C23-C60)&lt;0),-(C17-C23-C60),0)</f>
        <v>-25968.571428571428</v>
      </c>
      <c r="D76" s="135">
        <f>-(D38-D37)</f>
        <v>-542.85714285714289</v>
      </c>
      <c r="E76" s="135">
        <f t="shared" ref="E76:N76" si="196">-(E38-E37)</f>
        <v>0</v>
      </c>
      <c r="F76" s="135">
        <f t="shared" si="196"/>
        <v>0</v>
      </c>
      <c r="G76" s="135">
        <f t="shared" si="196"/>
        <v>0</v>
      </c>
      <c r="H76" s="135">
        <f t="shared" si="196"/>
        <v>0</v>
      </c>
      <c r="I76" s="135">
        <f t="shared" si="196"/>
        <v>0</v>
      </c>
      <c r="J76" s="135">
        <f t="shared" si="196"/>
        <v>0</v>
      </c>
      <c r="K76" s="135">
        <f t="shared" si="196"/>
        <v>0</v>
      </c>
      <c r="L76" s="135">
        <f t="shared" si="196"/>
        <v>0</v>
      </c>
      <c r="M76" s="135">
        <f t="shared" si="196"/>
        <v>0</v>
      </c>
      <c r="N76" s="135">
        <f t="shared" si="196"/>
        <v>0</v>
      </c>
      <c r="O76" s="53">
        <f>SUM(C76:N76)</f>
        <v>-26511.428571428569</v>
      </c>
      <c r="P76" s="53"/>
      <c r="Q76" s="135">
        <f>-(Q38-Q37)</f>
        <v>0</v>
      </c>
      <c r="R76" s="135">
        <f t="shared" ref="R76:AA76" si="197">-(R38-R37)</f>
        <v>0</v>
      </c>
      <c r="S76" s="135">
        <f t="shared" si="197"/>
        <v>0</v>
      </c>
      <c r="T76" s="135">
        <f t="shared" si="197"/>
        <v>0</v>
      </c>
      <c r="U76" s="135">
        <f t="shared" si="197"/>
        <v>0</v>
      </c>
      <c r="V76" s="135">
        <f t="shared" si="197"/>
        <v>0</v>
      </c>
      <c r="W76" s="135">
        <f t="shared" si="197"/>
        <v>0</v>
      </c>
      <c r="X76" s="135">
        <f t="shared" si="197"/>
        <v>0</v>
      </c>
      <c r="Y76" s="135">
        <f t="shared" si="197"/>
        <v>0</v>
      </c>
      <c r="Z76" s="135">
        <f t="shared" si="197"/>
        <v>0</v>
      </c>
      <c r="AA76" s="135">
        <f t="shared" si="197"/>
        <v>0</v>
      </c>
      <c r="AB76" s="135">
        <f>-(AB38-AB37)</f>
        <v>0</v>
      </c>
      <c r="AC76" s="53">
        <f>SUM(Q76:AB76)</f>
        <v>0</v>
      </c>
      <c r="AD76" s="53"/>
      <c r="AE76" s="135">
        <f>-(AE38-AE37)</f>
        <v>0</v>
      </c>
      <c r="AF76" s="135">
        <f t="shared" ref="AF76:AO76" si="198">-(AF38-AF37)</f>
        <v>0</v>
      </c>
      <c r="AG76" s="135">
        <f t="shared" si="198"/>
        <v>0</v>
      </c>
      <c r="AH76" s="135">
        <f t="shared" si="198"/>
        <v>0</v>
      </c>
      <c r="AI76" s="135">
        <f t="shared" si="198"/>
        <v>0</v>
      </c>
      <c r="AJ76" s="135">
        <f t="shared" si="198"/>
        <v>0</v>
      </c>
      <c r="AK76" s="135">
        <f t="shared" si="198"/>
        <v>0</v>
      </c>
      <c r="AL76" s="135">
        <f t="shared" si="198"/>
        <v>0</v>
      </c>
      <c r="AM76" s="135">
        <f t="shared" si="198"/>
        <v>0</v>
      </c>
      <c r="AN76" s="135">
        <f t="shared" si="198"/>
        <v>0</v>
      </c>
      <c r="AO76" s="135">
        <f t="shared" si="198"/>
        <v>0</v>
      </c>
      <c r="AP76" s="135">
        <f>-(AP38-AP37)</f>
        <v>0</v>
      </c>
      <c r="AQ76" s="53">
        <f>SUM(AE76:AP76)</f>
        <v>0</v>
      </c>
      <c r="AR76" s="53"/>
      <c r="AS76" s="134">
        <f>O76+AC76+AQ76</f>
        <v>-26511.428571428569</v>
      </c>
    </row>
    <row r="77" spans="1:45" s="70" customFormat="1" ht="10.5" x14ac:dyDescent="0.35">
      <c r="A77" s="69" t="s">
        <v>18</v>
      </c>
      <c r="B77" s="67" t="str">
        <f>CHOOSE('Исходные данные'!$O$2,'Исходные данные'!$P$2,'Исходные данные'!$P$3,'Исходные данные'!$P$4,'Исходные данные'!$P$5)</f>
        <v>USD</v>
      </c>
      <c r="C77" s="133">
        <f>-C76</f>
        <v>25968.571428571428</v>
      </c>
      <c r="D77" s="133">
        <f t="shared" ref="D77:N77" si="199">-D76</f>
        <v>542.85714285714289</v>
      </c>
      <c r="E77" s="133">
        <f t="shared" si="199"/>
        <v>0</v>
      </c>
      <c r="F77" s="133">
        <f t="shared" si="199"/>
        <v>0</v>
      </c>
      <c r="G77" s="133">
        <f t="shared" si="199"/>
        <v>0</v>
      </c>
      <c r="H77" s="133">
        <f t="shared" si="199"/>
        <v>0</v>
      </c>
      <c r="I77" s="133">
        <f t="shared" si="199"/>
        <v>0</v>
      </c>
      <c r="J77" s="133">
        <f t="shared" si="199"/>
        <v>0</v>
      </c>
      <c r="K77" s="133">
        <f t="shared" si="199"/>
        <v>0</v>
      </c>
      <c r="L77" s="133">
        <f t="shared" si="199"/>
        <v>0</v>
      </c>
      <c r="M77" s="133">
        <f t="shared" si="199"/>
        <v>0</v>
      </c>
      <c r="N77" s="133">
        <f t="shared" si="199"/>
        <v>0</v>
      </c>
      <c r="O77" s="53">
        <f>SUM(C77:N77)</f>
        <v>26511.428571428569</v>
      </c>
      <c r="P77" s="53"/>
      <c r="Q77" s="133">
        <f>-Q76</f>
        <v>0</v>
      </c>
      <c r="R77" s="133">
        <f t="shared" ref="R77" si="200">-R76</f>
        <v>0</v>
      </c>
      <c r="S77" s="133">
        <f t="shared" ref="S77" si="201">-S76</f>
        <v>0</v>
      </c>
      <c r="T77" s="133">
        <f t="shared" ref="T77" si="202">-T76</f>
        <v>0</v>
      </c>
      <c r="U77" s="133">
        <f t="shared" ref="U77" si="203">-U76</f>
        <v>0</v>
      </c>
      <c r="V77" s="133">
        <f t="shared" ref="V77" si="204">-V76</f>
        <v>0</v>
      </c>
      <c r="W77" s="133">
        <f t="shared" ref="W77" si="205">-W76</f>
        <v>0</v>
      </c>
      <c r="X77" s="133">
        <f t="shared" ref="X77" si="206">-X76</f>
        <v>0</v>
      </c>
      <c r="Y77" s="133">
        <f t="shared" ref="Y77" si="207">-Y76</f>
        <v>0</v>
      </c>
      <c r="Z77" s="133">
        <f t="shared" ref="Z77" si="208">-Z76</f>
        <v>0</v>
      </c>
      <c r="AA77" s="133">
        <f t="shared" ref="AA77" si="209">-AA76</f>
        <v>0</v>
      </c>
      <c r="AB77" s="133">
        <f t="shared" ref="AB77" si="210">-AB76</f>
        <v>0</v>
      </c>
      <c r="AC77" s="53">
        <f>SUM(Q77:AB77)</f>
        <v>0</v>
      </c>
      <c r="AD77" s="53"/>
      <c r="AE77" s="133">
        <f>-AE76</f>
        <v>0</v>
      </c>
      <c r="AF77" s="133">
        <f t="shared" ref="AF77" si="211">-AF76</f>
        <v>0</v>
      </c>
      <c r="AG77" s="133">
        <f t="shared" ref="AG77" si="212">-AG76</f>
        <v>0</v>
      </c>
      <c r="AH77" s="133">
        <f t="shared" ref="AH77" si="213">-AH76</f>
        <v>0</v>
      </c>
      <c r="AI77" s="133">
        <f t="shared" ref="AI77" si="214">-AI76</f>
        <v>0</v>
      </c>
      <c r="AJ77" s="133">
        <f t="shared" ref="AJ77" si="215">-AJ76</f>
        <v>0</v>
      </c>
      <c r="AK77" s="133">
        <f t="shared" ref="AK77" si="216">-AK76</f>
        <v>0</v>
      </c>
      <c r="AL77" s="133">
        <f t="shared" ref="AL77" si="217">-AL76</f>
        <v>0</v>
      </c>
      <c r="AM77" s="133">
        <f t="shared" ref="AM77" si="218">-AM76</f>
        <v>0</v>
      </c>
      <c r="AN77" s="133">
        <f t="shared" ref="AN77" si="219">-AN76</f>
        <v>0</v>
      </c>
      <c r="AO77" s="133">
        <f t="shared" ref="AO77" si="220">-AO76</f>
        <v>0</v>
      </c>
      <c r="AP77" s="133">
        <f t="shared" ref="AP77" si="221">-AP76</f>
        <v>0</v>
      </c>
      <c r="AQ77" s="53">
        <f>SUM(AE77:AP77)</f>
        <v>0</v>
      </c>
      <c r="AR77" s="53"/>
      <c r="AS77" s="132">
        <f>O77+AC77+AQ77</f>
        <v>26511.428571428569</v>
      </c>
    </row>
    <row r="78" spans="1:45" s="35" customFormat="1" ht="10.5" x14ac:dyDescent="0.35">
      <c r="A78" s="44" t="s">
        <v>19</v>
      </c>
      <c r="B78" s="24" t="str">
        <f>CHOOSE('Исходные данные'!$O$2,'Исходные данные'!$P$2,'Исходные данные'!$P$3,'Исходные данные'!$P$4,'Исходные данные'!$P$5)</f>
        <v>USD</v>
      </c>
      <c r="C78" s="135">
        <v>0</v>
      </c>
      <c r="D78" s="36">
        <f>C79</f>
        <v>-91.428571428572468</v>
      </c>
      <c r="E78" s="36">
        <f t="shared" ref="E78:N78" si="222">D79</f>
        <v>889.99999999999909</v>
      </c>
      <c r="F78" s="36">
        <f t="shared" si="222"/>
        <v>1835.7142857142844</v>
      </c>
      <c r="G78" s="36">
        <f t="shared" si="222"/>
        <v>3854.2857142857124</v>
      </c>
      <c r="H78" s="36">
        <f t="shared" si="222"/>
        <v>6874.2857142857119</v>
      </c>
      <c r="I78" s="36">
        <f t="shared" si="222"/>
        <v>9929.9999999999964</v>
      </c>
      <c r="J78" s="135">
        <f t="shared" si="222"/>
        <v>12949.999999999996</v>
      </c>
      <c r="K78" s="135">
        <f t="shared" si="222"/>
        <v>16005.714285714281</v>
      </c>
      <c r="L78" s="135">
        <f t="shared" si="222"/>
        <v>19025.714285714279</v>
      </c>
      <c r="M78" s="135">
        <f t="shared" si="222"/>
        <v>22081.428571428565</v>
      </c>
      <c r="N78" s="135">
        <f t="shared" si="222"/>
        <v>26138.57142857142</v>
      </c>
      <c r="O78" s="136">
        <f>C78</f>
        <v>0</v>
      </c>
      <c r="P78" s="136"/>
      <c r="Q78" s="135">
        <f>N79</f>
        <v>30231.428571428562</v>
      </c>
      <c r="R78" s="36">
        <f t="shared" ref="R78:AB78" si="223">Q79</f>
        <v>34217.142857142848</v>
      </c>
      <c r="S78" s="36">
        <f t="shared" si="223"/>
        <v>38309.999999999993</v>
      </c>
      <c r="T78" s="36">
        <f t="shared" si="223"/>
        <v>42367.142857142848</v>
      </c>
      <c r="U78" s="36">
        <f t="shared" si="223"/>
        <v>46459.999999999993</v>
      </c>
      <c r="V78" s="36">
        <f t="shared" si="223"/>
        <v>50517.142857142848</v>
      </c>
      <c r="W78" s="36">
        <f t="shared" si="223"/>
        <v>54609.999999999993</v>
      </c>
      <c r="X78" s="135">
        <f t="shared" si="223"/>
        <v>58667.142857142848</v>
      </c>
      <c r="Y78" s="135">
        <f t="shared" si="223"/>
        <v>63797.142857142848</v>
      </c>
      <c r="Z78" s="135">
        <f t="shared" si="223"/>
        <v>68891.428571428565</v>
      </c>
      <c r="AA78" s="135">
        <f t="shared" si="223"/>
        <v>74021.428571428565</v>
      </c>
      <c r="AB78" s="135">
        <f t="shared" si="223"/>
        <v>79115.714285714275</v>
      </c>
      <c r="AC78" s="136">
        <f>Q78</f>
        <v>30231.428571428562</v>
      </c>
      <c r="AD78" s="136"/>
      <c r="AE78" s="135">
        <f>AB79</f>
        <v>84245.714285714275</v>
      </c>
      <c r="AF78" s="36">
        <f t="shared" ref="AF78:AP78" si="224">AE79</f>
        <v>89268.57142857142</v>
      </c>
      <c r="AG78" s="36">
        <f t="shared" si="224"/>
        <v>94398.57142857142</v>
      </c>
      <c r="AH78" s="36">
        <f t="shared" si="224"/>
        <v>99492.85714285713</v>
      </c>
      <c r="AI78" s="36">
        <f t="shared" si="224"/>
        <v>105659.99999999999</v>
      </c>
      <c r="AJ78" s="36">
        <f t="shared" si="224"/>
        <v>111791.42857142855</v>
      </c>
      <c r="AK78" s="36">
        <f t="shared" si="224"/>
        <v>117958.57142857141</v>
      </c>
      <c r="AL78" s="135">
        <f t="shared" si="224"/>
        <v>125127.14285714284</v>
      </c>
      <c r="AM78" s="135">
        <f t="shared" si="224"/>
        <v>132331.42857142855</v>
      </c>
      <c r="AN78" s="135">
        <f t="shared" si="224"/>
        <v>140537.14285714284</v>
      </c>
      <c r="AO78" s="135">
        <f t="shared" si="224"/>
        <v>149815.71428571426</v>
      </c>
      <c r="AP78" s="135">
        <f t="shared" si="224"/>
        <v>159058.57142857142</v>
      </c>
      <c r="AQ78" s="136">
        <f>AE78</f>
        <v>84245.714285714275</v>
      </c>
      <c r="AR78" s="136"/>
      <c r="AS78" s="134">
        <f>O78</f>
        <v>0</v>
      </c>
    </row>
    <row r="79" spans="1:45" s="35" customFormat="1" ht="10.5" x14ac:dyDescent="0.35">
      <c r="A79" s="44" t="s">
        <v>20</v>
      </c>
      <c r="B79" s="24" t="str">
        <f>CHOOSE('Исходные данные'!$O$2,'Исходные данные'!$P$2,'Исходные данные'!$P$3,'Исходные данные'!$P$4,'Исходные данные'!$P$5)</f>
        <v>USD</v>
      </c>
      <c r="C79" s="135">
        <f>C75+C76+C77+C78</f>
        <v>-91.428571428572468</v>
      </c>
      <c r="D79" s="36">
        <f>D75+D76+D77+D78</f>
        <v>889.99999999999909</v>
      </c>
      <c r="E79" s="36">
        <f t="shared" ref="E79:N79" si="225">E75+E76+E77+E78</f>
        <v>1835.7142857142844</v>
      </c>
      <c r="F79" s="36">
        <f t="shared" si="225"/>
        <v>3854.2857142857124</v>
      </c>
      <c r="G79" s="36">
        <f t="shared" si="225"/>
        <v>6874.2857142857119</v>
      </c>
      <c r="H79" s="36">
        <f t="shared" si="225"/>
        <v>9929.9999999999964</v>
      </c>
      <c r="I79" s="36">
        <f t="shared" si="225"/>
        <v>12949.999999999996</v>
      </c>
      <c r="J79" s="135">
        <f t="shared" si="225"/>
        <v>16005.714285714281</v>
      </c>
      <c r="K79" s="135">
        <f t="shared" si="225"/>
        <v>19025.714285714279</v>
      </c>
      <c r="L79" s="135">
        <f t="shared" si="225"/>
        <v>22081.428571428565</v>
      </c>
      <c r="M79" s="135">
        <f t="shared" si="225"/>
        <v>26138.57142857142</v>
      </c>
      <c r="N79" s="135">
        <f t="shared" si="225"/>
        <v>30231.428571428562</v>
      </c>
      <c r="O79" s="136">
        <f>N79</f>
        <v>30231.428571428562</v>
      </c>
      <c r="P79" s="136"/>
      <c r="Q79" s="135">
        <f>Q75+Q76+Q77+Q78</f>
        <v>34217.142857142848</v>
      </c>
      <c r="R79" s="36">
        <f>R75+R76+R77+R78</f>
        <v>38309.999999999993</v>
      </c>
      <c r="S79" s="36">
        <f t="shared" ref="S79:AB79" si="226">S75+S76+S77+S78</f>
        <v>42367.142857142848</v>
      </c>
      <c r="T79" s="36">
        <f t="shared" si="226"/>
        <v>46459.999999999993</v>
      </c>
      <c r="U79" s="36">
        <f t="shared" si="226"/>
        <v>50517.142857142848</v>
      </c>
      <c r="V79" s="36">
        <f t="shared" si="226"/>
        <v>54609.999999999993</v>
      </c>
      <c r="W79" s="36">
        <f t="shared" si="226"/>
        <v>58667.142857142848</v>
      </c>
      <c r="X79" s="135">
        <f t="shared" si="226"/>
        <v>63797.142857142848</v>
      </c>
      <c r="Y79" s="135">
        <f t="shared" si="226"/>
        <v>68891.428571428565</v>
      </c>
      <c r="Z79" s="135">
        <f t="shared" si="226"/>
        <v>74021.428571428565</v>
      </c>
      <c r="AA79" s="135">
        <f t="shared" si="226"/>
        <v>79115.714285714275</v>
      </c>
      <c r="AB79" s="135">
        <f t="shared" si="226"/>
        <v>84245.714285714275</v>
      </c>
      <c r="AC79" s="136">
        <f>AB79</f>
        <v>84245.714285714275</v>
      </c>
      <c r="AD79" s="136"/>
      <c r="AE79" s="135">
        <f>AE75+AE76+AE77+AE78</f>
        <v>89268.57142857142</v>
      </c>
      <c r="AF79" s="36">
        <f>AF75+AF76+AF77+AF78</f>
        <v>94398.57142857142</v>
      </c>
      <c r="AG79" s="36">
        <f t="shared" ref="AG79:AP79" si="227">AG75+AG76+AG77+AG78</f>
        <v>99492.85714285713</v>
      </c>
      <c r="AH79" s="36">
        <f t="shared" si="227"/>
        <v>105659.99999999999</v>
      </c>
      <c r="AI79" s="36">
        <f t="shared" si="227"/>
        <v>111791.42857142855</v>
      </c>
      <c r="AJ79" s="36">
        <f t="shared" si="227"/>
        <v>117958.57142857141</v>
      </c>
      <c r="AK79" s="36">
        <f t="shared" si="227"/>
        <v>125127.14285714284</v>
      </c>
      <c r="AL79" s="135">
        <f t="shared" si="227"/>
        <v>132331.42857142855</v>
      </c>
      <c r="AM79" s="135">
        <f t="shared" si="227"/>
        <v>140537.14285714284</v>
      </c>
      <c r="AN79" s="135">
        <f t="shared" si="227"/>
        <v>149815.71428571426</v>
      </c>
      <c r="AO79" s="135">
        <f t="shared" si="227"/>
        <v>159058.57142857142</v>
      </c>
      <c r="AP79" s="135">
        <f t="shared" si="227"/>
        <v>168337.14285714284</v>
      </c>
      <c r="AQ79" s="136">
        <f>AP79</f>
        <v>168337.14285714284</v>
      </c>
      <c r="AR79" s="136"/>
      <c r="AS79" s="134">
        <f>AQ79</f>
        <v>168337.14285714284</v>
      </c>
    </row>
    <row r="80" spans="1:45" s="20" customFormat="1" ht="10.8" thickBot="1" x14ac:dyDescent="0.45">
      <c r="O80" s="56"/>
      <c r="P80" s="56"/>
      <c r="AC80" s="56"/>
      <c r="AD80" s="56"/>
      <c r="AQ80" s="56"/>
      <c r="AR80" s="56"/>
    </row>
    <row r="81" spans="1:45" s="20" customFormat="1" ht="11.1" thickTop="1" thickBot="1" x14ac:dyDescent="0.4">
      <c r="A81" s="18" t="s">
        <v>21</v>
      </c>
      <c r="B81" s="19"/>
      <c r="C81" s="19" t="str">
        <f t="shared" ref="C81:AP81" si="228">C$6</f>
        <v>январь</v>
      </c>
      <c r="D81" s="19" t="str">
        <f t="shared" si="228"/>
        <v>февраль</v>
      </c>
      <c r="E81" s="19" t="str">
        <f t="shared" si="228"/>
        <v>март</v>
      </c>
      <c r="F81" s="19" t="str">
        <f t="shared" si="228"/>
        <v>апрель</v>
      </c>
      <c r="G81" s="19" t="str">
        <f t="shared" si="228"/>
        <v>май</v>
      </c>
      <c r="H81" s="19" t="str">
        <f t="shared" si="228"/>
        <v>июнь</v>
      </c>
      <c r="I81" s="19" t="str">
        <f t="shared" si="228"/>
        <v>июль</v>
      </c>
      <c r="J81" s="19" t="str">
        <f t="shared" si="228"/>
        <v>август</v>
      </c>
      <c r="K81" s="19" t="str">
        <f t="shared" si="228"/>
        <v>сентябрь</v>
      </c>
      <c r="L81" s="19" t="str">
        <f t="shared" si="228"/>
        <v>октябрь</v>
      </c>
      <c r="M81" s="19" t="str">
        <f t="shared" si="228"/>
        <v>ноябрь</v>
      </c>
      <c r="N81" s="19" t="str">
        <f t="shared" si="228"/>
        <v>декабрь</v>
      </c>
      <c r="O81" s="120"/>
      <c r="P81" s="120"/>
      <c r="Q81" s="19" t="str">
        <f t="shared" si="228"/>
        <v>январь</v>
      </c>
      <c r="R81" s="19" t="str">
        <f t="shared" si="228"/>
        <v>февраль</v>
      </c>
      <c r="S81" s="19" t="str">
        <f t="shared" si="228"/>
        <v>март</v>
      </c>
      <c r="T81" s="19" t="str">
        <f t="shared" si="228"/>
        <v>апрель</v>
      </c>
      <c r="U81" s="19" t="str">
        <f t="shared" si="228"/>
        <v>май</v>
      </c>
      <c r="V81" s="19" t="str">
        <f t="shared" si="228"/>
        <v>июнь</v>
      </c>
      <c r="W81" s="19" t="str">
        <f t="shared" si="228"/>
        <v>июль</v>
      </c>
      <c r="X81" s="19" t="str">
        <f t="shared" si="228"/>
        <v>август</v>
      </c>
      <c r="Y81" s="19" t="str">
        <f t="shared" si="228"/>
        <v>сентябрь</v>
      </c>
      <c r="Z81" s="19" t="str">
        <f t="shared" si="228"/>
        <v>октябрь</v>
      </c>
      <c r="AA81" s="19" t="str">
        <f t="shared" si="228"/>
        <v>ноябрь</v>
      </c>
      <c r="AB81" s="19" t="str">
        <f t="shared" si="228"/>
        <v>декабрь</v>
      </c>
      <c r="AC81" s="120"/>
      <c r="AD81" s="120"/>
      <c r="AE81" s="19" t="str">
        <f t="shared" si="228"/>
        <v>январь</v>
      </c>
      <c r="AF81" s="19" t="str">
        <f t="shared" si="228"/>
        <v>февраль</v>
      </c>
      <c r="AG81" s="19" t="str">
        <f t="shared" si="228"/>
        <v>март</v>
      </c>
      <c r="AH81" s="19" t="str">
        <f t="shared" si="228"/>
        <v>апрель</v>
      </c>
      <c r="AI81" s="19" t="str">
        <f t="shared" si="228"/>
        <v>май</v>
      </c>
      <c r="AJ81" s="19" t="str">
        <f t="shared" si="228"/>
        <v>июнь</v>
      </c>
      <c r="AK81" s="19" t="str">
        <f t="shared" si="228"/>
        <v>июль</v>
      </c>
      <c r="AL81" s="19" t="str">
        <f t="shared" si="228"/>
        <v>август</v>
      </c>
      <c r="AM81" s="19" t="str">
        <f t="shared" si="228"/>
        <v>сентябрь</v>
      </c>
      <c r="AN81" s="19" t="str">
        <f t="shared" si="228"/>
        <v>октябрь</v>
      </c>
      <c r="AO81" s="19" t="str">
        <f t="shared" si="228"/>
        <v>ноябрь</v>
      </c>
      <c r="AP81" s="19" t="str">
        <f t="shared" si="228"/>
        <v>декабрь</v>
      </c>
      <c r="AQ81" s="120"/>
      <c r="AR81" s="120"/>
      <c r="AS81" s="19"/>
    </row>
    <row r="82" spans="1:45" s="20" customFormat="1" ht="14.1" thickTop="1" x14ac:dyDescent="0.4">
      <c r="A82" s="45"/>
      <c r="B82" s="46"/>
      <c r="C82" s="45"/>
      <c r="D82" s="45"/>
      <c r="E82" s="45"/>
      <c r="F82" s="45"/>
      <c r="G82" s="45"/>
      <c r="H82" s="45"/>
      <c r="I82" s="47"/>
      <c r="O82" s="56"/>
      <c r="P82" s="56"/>
      <c r="Q82" s="45"/>
      <c r="R82" s="45"/>
      <c r="S82" s="45"/>
      <c r="T82" s="45"/>
      <c r="U82" s="45"/>
      <c r="V82" s="45"/>
      <c r="W82" s="47"/>
      <c r="AC82" s="56"/>
      <c r="AD82" s="56"/>
      <c r="AE82" s="45"/>
      <c r="AF82" s="45"/>
      <c r="AG82" s="45"/>
      <c r="AH82" s="45"/>
      <c r="AI82" s="45"/>
      <c r="AJ82" s="45"/>
      <c r="AK82" s="47"/>
      <c r="AQ82" s="56"/>
      <c r="AR82" s="56"/>
      <c r="AS82" s="48"/>
    </row>
    <row r="83" spans="1:45" s="50" customFormat="1" ht="10.5" x14ac:dyDescent="0.35">
      <c r="A83" s="49" t="s">
        <v>153</v>
      </c>
      <c r="B83" s="321">
        <v>0</v>
      </c>
      <c r="C83" s="322">
        <f>1/POWER((1+$B$83/12),C84)</f>
        <v>1</v>
      </c>
      <c r="D83" s="322">
        <f t="shared" ref="D83:N83" si="229">1/POWER((1+$B$83/12),D84)</f>
        <v>1</v>
      </c>
      <c r="E83" s="322">
        <f t="shared" si="229"/>
        <v>1</v>
      </c>
      <c r="F83" s="322">
        <f t="shared" si="229"/>
        <v>1</v>
      </c>
      <c r="G83" s="322">
        <f t="shared" si="229"/>
        <v>1</v>
      </c>
      <c r="H83" s="322">
        <f t="shared" si="229"/>
        <v>1</v>
      </c>
      <c r="I83" s="322">
        <f t="shared" si="229"/>
        <v>1</v>
      </c>
      <c r="J83" s="322">
        <f t="shared" si="229"/>
        <v>1</v>
      </c>
      <c r="K83" s="322">
        <f t="shared" si="229"/>
        <v>1</v>
      </c>
      <c r="L83" s="322">
        <f t="shared" si="229"/>
        <v>1</v>
      </c>
      <c r="M83" s="322">
        <f t="shared" si="229"/>
        <v>1</v>
      </c>
      <c r="N83" s="322">
        <f t="shared" si="229"/>
        <v>1</v>
      </c>
      <c r="O83" s="121"/>
      <c r="P83" s="121"/>
      <c r="Q83" s="322">
        <f>1/POWER((1+$B$83/12),Q84)</f>
        <v>1</v>
      </c>
      <c r="R83" s="322">
        <f t="shared" ref="R83" si="230">1/POWER((1+$B$83/12),R84)</f>
        <v>1</v>
      </c>
      <c r="S83" s="322">
        <f t="shared" ref="S83" si="231">1/POWER((1+$B$83/12),S84)</f>
        <v>1</v>
      </c>
      <c r="T83" s="322">
        <f t="shared" ref="T83" si="232">1/POWER((1+$B$83/12),T84)</f>
        <v>1</v>
      </c>
      <c r="U83" s="322">
        <f t="shared" ref="U83" si="233">1/POWER((1+$B$83/12),U84)</f>
        <v>1</v>
      </c>
      <c r="V83" s="322">
        <f t="shared" ref="V83" si="234">1/POWER((1+$B$83/12),V84)</f>
        <v>1</v>
      </c>
      <c r="W83" s="322">
        <f t="shared" ref="W83" si="235">1/POWER((1+$B$83/12),W84)</f>
        <v>1</v>
      </c>
      <c r="X83" s="322">
        <f t="shared" ref="X83" si="236">1/POWER((1+$B$83/12),X84)</f>
        <v>1</v>
      </c>
      <c r="Y83" s="322">
        <f t="shared" ref="Y83" si="237">1/POWER((1+$B$83/12),Y84)</f>
        <v>1</v>
      </c>
      <c r="Z83" s="322">
        <f t="shared" ref="Z83" si="238">1/POWER((1+$B$83/12),Z84)</f>
        <v>1</v>
      </c>
      <c r="AA83" s="322">
        <f t="shared" ref="AA83" si="239">1/POWER((1+$B$83/12),AA84)</f>
        <v>1</v>
      </c>
      <c r="AB83" s="322">
        <f t="shared" ref="AB83" si="240">1/POWER((1+$B$83/12),AB84)</f>
        <v>1</v>
      </c>
      <c r="AC83" s="121"/>
      <c r="AD83" s="121"/>
      <c r="AE83" s="322">
        <f>1/POWER((1+$B$83/12),AE84)</f>
        <v>1</v>
      </c>
      <c r="AF83" s="322">
        <f t="shared" ref="AF83" si="241">1/POWER((1+$B$83/12),AF84)</f>
        <v>1</v>
      </c>
      <c r="AG83" s="322">
        <f t="shared" ref="AG83" si="242">1/POWER((1+$B$83/12),AG84)</f>
        <v>1</v>
      </c>
      <c r="AH83" s="322">
        <f t="shared" ref="AH83" si="243">1/POWER((1+$B$83/12),AH84)</f>
        <v>1</v>
      </c>
      <c r="AI83" s="322">
        <f t="shared" ref="AI83" si="244">1/POWER((1+$B$83/12),AI84)</f>
        <v>1</v>
      </c>
      <c r="AJ83" s="322">
        <f t="shared" ref="AJ83" si="245">1/POWER((1+$B$83/12),AJ84)</f>
        <v>1</v>
      </c>
      <c r="AK83" s="322">
        <f t="shared" ref="AK83" si="246">1/POWER((1+$B$83/12),AK84)</f>
        <v>1</v>
      </c>
      <c r="AL83" s="322">
        <f t="shared" ref="AL83" si="247">1/POWER((1+$B$83/12),AL84)</f>
        <v>1</v>
      </c>
      <c r="AM83" s="322">
        <f t="shared" ref="AM83" si="248">1/POWER((1+$B$83/12),AM84)</f>
        <v>1</v>
      </c>
      <c r="AN83" s="322">
        <f t="shared" ref="AN83" si="249">1/POWER((1+$B$83/12),AN84)</f>
        <v>1</v>
      </c>
      <c r="AO83" s="322">
        <f t="shared" ref="AO83" si="250">1/POWER((1+$B$83/12),AO84)</f>
        <v>1</v>
      </c>
      <c r="AP83" s="322">
        <f t="shared" ref="AP83" si="251">1/POWER((1+$B$83/12),AP84)</f>
        <v>1</v>
      </c>
      <c r="AQ83" s="121"/>
      <c r="AR83" s="121"/>
      <c r="AS83" s="51"/>
    </row>
    <row r="84" spans="1:45" s="328" customFormat="1" ht="10.5" hidden="1" x14ac:dyDescent="0.4">
      <c r="A84" s="323"/>
      <c r="B84" s="324"/>
      <c r="C84" s="325">
        <v>0</v>
      </c>
      <c r="D84" s="325">
        <v>1</v>
      </c>
      <c r="E84" s="325">
        <v>2</v>
      </c>
      <c r="F84" s="325">
        <v>3</v>
      </c>
      <c r="G84" s="325">
        <v>4</v>
      </c>
      <c r="H84" s="325">
        <v>5</v>
      </c>
      <c r="I84" s="325">
        <v>6</v>
      </c>
      <c r="J84" s="325">
        <v>7</v>
      </c>
      <c r="K84" s="325">
        <v>8</v>
      </c>
      <c r="L84" s="325">
        <v>9</v>
      </c>
      <c r="M84" s="325">
        <v>10</v>
      </c>
      <c r="N84" s="325">
        <v>11</v>
      </c>
      <c r="O84" s="326"/>
      <c r="P84" s="326"/>
      <c r="Q84" s="325">
        <v>12</v>
      </c>
      <c r="R84" s="325">
        <v>13</v>
      </c>
      <c r="S84" s="325">
        <v>14</v>
      </c>
      <c r="T84" s="325">
        <v>15</v>
      </c>
      <c r="U84" s="325">
        <v>16</v>
      </c>
      <c r="V84" s="325">
        <v>17</v>
      </c>
      <c r="W84" s="325">
        <v>18</v>
      </c>
      <c r="X84" s="325">
        <v>19</v>
      </c>
      <c r="Y84" s="325">
        <v>20</v>
      </c>
      <c r="Z84" s="325">
        <v>21</v>
      </c>
      <c r="AA84" s="325">
        <v>22</v>
      </c>
      <c r="AB84" s="325">
        <v>23</v>
      </c>
      <c r="AC84" s="326"/>
      <c r="AD84" s="326"/>
      <c r="AE84" s="325">
        <v>24</v>
      </c>
      <c r="AF84" s="325">
        <v>25</v>
      </c>
      <c r="AG84" s="325">
        <v>26</v>
      </c>
      <c r="AH84" s="325">
        <v>27</v>
      </c>
      <c r="AI84" s="325">
        <v>28</v>
      </c>
      <c r="AJ84" s="325">
        <v>29</v>
      </c>
      <c r="AK84" s="325">
        <v>30</v>
      </c>
      <c r="AL84" s="325">
        <v>31</v>
      </c>
      <c r="AM84" s="325">
        <v>32</v>
      </c>
      <c r="AN84" s="325">
        <v>33</v>
      </c>
      <c r="AO84" s="325">
        <v>34</v>
      </c>
      <c r="AP84" s="325">
        <v>35</v>
      </c>
      <c r="AQ84" s="326"/>
      <c r="AR84" s="326"/>
      <c r="AS84" s="327"/>
    </row>
    <row r="85" spans="1:45" s="328" customFormat="1" ht="10.5" x14ac:dyDescent="0.35">
      <c r="A85" s="150" t="str">
        <f>"Чистый денежный поток (NCF), "&amp;CHOOSE('Исходные данные'!$O$2,'Исходные данные'!$P$2,'Исходные данные'!$P$3,'Исходные данные'!$P$4,'Исходные данные'!$P$5)&amp;""</f>
        <v>Чистый денежный поток (NCF), USD</v>
      </c>
      <c r="B85" s="324"/>
      <c r="C85" s="36">
        <f>SUM(C75:C77)</f>
        <v>-91.428571428572468</v>
      </c>
      <c r="D85" s="36">
        <f t="shared" ref="D85:N85" si="252">SUM(D75:D77)</f>
        <v>981.42857142857156</v>
      </c>
      <c r="E85" s="36">
        <f t="shared" si="252"/>
        <v>945.71428571428532</v>
      </c>
      <c r="F85" s="36">
        <f t="shared" si="252"/>
        <v>2018.571428571428</v>
      </c>
      <c r="G85" s="36">
        <f t="shared" si="252"/>
        <v>3019.9999999999991</v>
      </c>
      <c r="H85" s="36">
        <f t="shared" si="252"/>
        <v>3055.7142857142844</v>
      </c>
      <c r="I85" s="36">
        <f t="shared" si="252"/>
        <v>3019.9999999999991</v>
      </c>
      <c r="J85" s="36">
        <f t="shared" si="252"/>
        <v>3055.7142857142844</v>
      </c>
      <c r="K85" s="36">
        <f t="shared" si="252"/>
        <v>3019.9999999999991</v>
      </c>
      <c r="L85" s="36">
        <f t="shared" si="252"/>
        <v>3055.7142857142844</v>
      </c>
      <c r="M85" s="36">
        <f t="shared" si="252"/>
        <v>4057.1428571428569</v>
      </c>
      <c r="N85" s="36">
        <f t="shared" si="252"/>
        <v>4092.8571428571422</v>
      </c>
      <c r="O85" s="326"/>
      <c r="P85" s="326"/>
      <c r="Q85" s="36">
        <f>SUM(Q75:Q77)</f>
        <v>3985.7142857142844</v>
      </c>
      <c r="R85" s="36">
        <f t="shared" ref="R85:AB85" si="253">SUM(R75:R77)</f>
        <v>4092.8571428571422</v>
      </c>
      <c r="S85" s="36">
        <f t="shared" si="253"/>
        <v>4057.1428571428569</v>
      </c>
      <c r="T85" s="36">
        <f t="shared" si="253"/>
        <v>4092.8571428571422</v>
      </c>
      <c r="U85" s="36">
        <f t="shared" si="253"/>
        <v>4057.1428571428569</v>
      </c>
      <c r="V85" s="36">
        <f t="shared" si="253"/>
        <v>4092.8571428571422</v>
      </c>
      <c r="W85" s="36">
        <f t="shared" si="253"/>
        <v>4057.1428571428569</v>
      </c>
      <c r="X85" s="36">
        <f t="shared" si="253"/>
        <v>5130</v>
      </c>
      <c r="Y85" s="36">
        <f t="shared" si="253"/>
        <v>5094.2857142857138</v>
      </c>
      <c r="Z85" s="36">
        <f t="shared" si="253"/>
        <v>5130</v>
      </c>
      <c r="AA85" s="36">
        <f t="shared" si="253"/>
        <v>5094.2857142857138</v>
      </c>
      <c r="AB85" s="36">
        <f t="shared" si="253"/>
        <v>5130</v>
      </c>
      <c r="AC85" s="326"/>
      <c r="AD85" s="326"/>
      <c r="AE85" s="36">
        <f>SUM(AE75:AE77)</f>
        <v>5022.8571428571422</v>
      </c>
      <c r="AF85" s="36">
        <f t="shared" ref="AF85:AP85" si="254">SUM(AF75:AF77)</f>
        <v>5130</v>
      </c>
      <c r="AG85" s="36">
        <f t="shared" si="254"/>
        <v>5094.2857142857138</v>
      </c>
      <c r="AH85" s="36">
        <f t="shared" si="254"/>
        <v>6167.1428571428569</v>
      </c>
      <c r="AI85" s="36">
        <f t="shared" si="254"/>
        <v>6131.4285714285706</v>
      </c>
      <c r="AJ85" s="36">
        <f t="shared" si="254"/>
        <v>6167.1428571428569</v>
      </c>
      <c r="AK85" s="36">
        <f t="shared" si="254"/>
        <v>7168.5714285714294</v>
      </c>
      <c r="AL85" s="36">
        <f t="shared" si="254"/>
        <v>7204.2857142857138</v>
      </c>
      <c r="AM85" s="36">
        <f t="shared" si="254"/>
        <v>8205.7142857142862</v>
      </c>
      <c r="AN85" s="36">
        <f t="shared" si="254"/>
        <v>9278.5714285714294</v>
      </c>
      <c r="AO85" s="36">
        <f t="shared" si="254"/>
        <v>9242.8571428571449</v>
      </c>
      <c r="AP85" s="36">
        <f t="shared" si="254"/>
        <v>9278.5714285714294</v>
      </c>
      <c r="AQ85" s="326"/>
      <c r="AR85" s="326"/>
      <c r="AS85" s="327"/>
    </row>
    <row r="86" spans="1:45" s="328" customFormat="1" ht="10.5" x14ac:dyDescent="0.35">
      <c r="A86" s="150" t="str">
        <f>"Чистый денежный поток (NCF) нарастающим итогом, "&amp;CHOOSE('Исходные данные'!$O$2,'Исходные данные'!$P$2,'Исходные данные'!$P$3,'Исходные данные'!$P$4,'Исходные данные'!$P$5)&amp;""</f>
        <v>Чистый денежный поток (NCF) нарастающим итогом, USD</v>
      </c>
      <c r="B86" s="324"/>
      <c r="C86" s="36">
        <f>B86+C85</f>
        <v>-91.428571428572468</v>
      </c>
      <c r="D86" s="36">
        <f t="shared" ref="D86:N86" si="255">C86+D85</f>
        <v>889.99999999999909</v>
      </c>
      <c r="E86" s="36">
        <f t="shared" si="255"/>
        <v>1835.7142857142844</v>
      </c>
      <c r="F86" s="36">
        <f t="shared" si="255"/>
        <v>3854.2857142857124</v>
      </c>
      <c r="G86" s="36">
        <f t="shared" si="255"/>
        <v>6874.2857142857119</v>
      </c>
      <c r="H86" s="36">
        <f t="shared" si="255"/>
        <v>9929.9999999999964</v>
      </c>
      <c r="I86" s="36">
        <f t="shared" si="255"/>
        <v>12949.999999999996</v>
      </c>
      <c r="J86" s="36">
        <f t="shared" si="255"/>
        <v>16005.714285714281</v>
      </c>
      <c r="K86" s="36">
        <f t="shared" si="255"/>
        <v>19025.714285714279</v>
      </c>
      <c r="L86" s="36">
        <f t="shared" si="255"/>
        <v>22081.428571428565</v>
      </c>
      <c r="M86" s="36">
        <f t="shared" si="255"/>
        <v>26138.57142857142</v>
      </c>
      <c r="N86" s="36">
        <f t="shared" si="255"/>
        <v>30231.428571428562</v>
      </c>
      <c r="O86" s="326"/>
      <c r="P86" s="326"/>
      <c r="Q86" s="36">
        <f>N86+Q85</f>
        <v>34217.142857142848</v>
      </c>
      <c r="R86" s="36">
        <f t="shared" ref="R86:AB86" si="256">Q86+R85</f>
        <v>38309.999999999993</v>
      </c>
      <c r="S86" s="36">
        <f t="shared" si="256"/>
        <v>42367.142857142848</v>
      </c>
      <c r="T86" s="36">
        <f t="shared" si="256"/>
        <v>46459.999999999993</v>
      </c>
      <c r="U86" s="36">
        <f t="shared" si="256"/>
        <v>50517.142857142848</v>
      </c>
      <c r="V86" s="36">
        <f t="shared" si="256"/>
        <v>54609.999999999993</v>
      </c>
      <c r="W86" s="36">
        <f t="shared" si="256"/>
        <v>58667.142857142848</v>
      </c>
      <c r="X86" s="36">
        <f t="shared" si="256"/>
        <v>63797.142857142848</v>
      </c>
      <c r="Y86" s="36">
        <f t="shared" si="256"/>
        <v>68891.428571428565</v>
      </c>
      <c r="Z86" s="36">
        <f t="shared" si="256"/>
        <v>74021.428571428565</v>
      </c>
      <c r="AA86" s="36">
        <f t="shared" si="256"/>
        <v>79115.714285714275</v>
      </c>
      <c r="AB86" s="36">
        <f t="shared" si="256"/>
        <v>84245.714285714275</v>
      </c>
      <c r="AC86" s="326"/>
      <c r="AD86" s="326"/>
      <c r="AE86" s="36">
        <f>AB86+AE85</f>
        <v>89268.57142857142</v>
      </c>
      <c r="AF86" s="36">
        <f t="shared" ref="AF86:AP86" si="257">AE86+AF85</f>
        <v>94398.57142857142</v>
      </c>
      <c r="AG86" s="36">
        <f t="shared" si="257"/>
        <v>99492.85714285713</v>
      </c>
      <c r="AH86" s="36">
        <f t="shared" si="257"/>
        <v>105659.99999999999</v>
      </c>
      <c r="AI86" s="36">
        <f t="shared" si="257"/>
        <v>111791.42857142855</v>
      </c>
      <c r="AJ86" s="36">
        <f t="shared" si="257"/>
        <v>117958.57142857141</v>
      </c>
      <c r="AK86" s="36">
        <f t="shared" si="257"/>
        <v>125127.14285714284</v>
      </c>
      <c r="AL86" s="36">
        <f t="shared" si="257"/>
        <v>132331.42857142855</v>
      </c>
      <c r="AM86" s="36">
        <f t="shared" si="257"/>
        <v>140537.14285714284</v>
      </c>
      <c r="AN86" s="36">
        <f t="shared" si="257"/>
        <v>149815.71428571426</v>
      </c>
      <c r="AO86" s="36">
        <f t="shared" si="257"/>
        <v>159058.57142857142</v>
      </c>
      <c r="AP86" s="36">
        <f t="shared" si="257"/>
        <v>168337.14285714284</v>
      </c>
      <c r="AQ86" s="326"/>
      <c r="AR86" s="326"/>
      <c r="AS86" s="327"/>
    </row>
    <row r="87" spans="1:45" s="20" customFormat="1" ht="10.5" x14ac:dyDescent="0.35">
      <c r="A87" s="20" t="str">
        <f>"Чистая приведенная стоимость (NPV),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(NPV), USD</v>
      </c>
      <c r="B87" s="25"/>
      <c r="C87" s="36">
        <f>C85*C83</f>
        <v>-91.428571428572468</v>
      </c>
      <c r="D87" s="36">
        <f t="shared" ref="D87:N87" si="258">D85*D83</f>
        <v>981.42857142857156</v>
      </c>
      <c r="E87" s="36">
        <f t="shared" si="258"/>
        <v>945.71428571428532</v>
      </c>
      <c r="F87" s="36">
        <f t="shared" si="258"/>
        <v>2018.571428571428</v>
      </c>
      <c r="G87" s="36">
        <f t="shared" si="258"/>
        <v>3019.9999999999991</v>
      </c>
      <c r="H87" s="36">
        <f t="shared" si="258"/>
        <v>3055.7142857142844</v>
      </c>
      <c r="I87" s="36">
        <f t="shared" si="258"/>
        <v>3019.9999999999991</v>
      </c>
      <c r="J87" s="36">
        <f t="shared" si="258"/>
        <v>3055.7142857142844</v>
      </c>
      <c r="K87" s="36">
        <f t="shared" si="258"/>
        <v>3019.9999999999991</v>
      </c>
      <c r="L87" s="36">
        <f t="shared" si="258"/>
        <v>3055.7142857142844</v>
      </c>
      <c r="M87" s="36">
        <f t="shared" si="258"/>
        <v>4057.1428571428569</v>
      </c>
      <c r="N87" s="36">
        <f t="shared" si="258"/>
        <v>4092.8571428571422</v>
      </c>
      <c r="O87" s="53"/>
      <c r="P87" s="53"/>
      <c r="Q87" s="36">
        <f>Q85*Q83</f>
        <v>3985.7142857142844</v>
      </c>
      <c r="R87" s="36">
        <f t="shared" ref="R87:AB87" si="259">R85*R83</f>
        <v>4092.8571428571422</v>
      </c>
      <c r="S87" s="36">
        <f t="shared" si="259"/>
        <v>4057.1428571428569</v>
      </c>
      <c r="T87" s="36">
        <f t="shared" si="259"/>
        <v>4092.8571428571422</v>
      </c>
      <c r="U87" s="36">
        <f t="shared" si="259"/>
        <v>4057.1428571428569</v>
      </c>
      <c r="V87" s="36">
        <f t="shared" si="259"/>
        <v>4092.8571428571422</v>
      </c>
      <c r="W87" s="36">
        <f t="shared" si="259"/>
        <v>4057.1428571428569</v>
      </c>
      <c r="X87" s="36">
        <f t="shared" si="259"/>
        <v>5130</v>
      </c>
      <c r="Y87" s="36">
        <f t="shared" si="259"/>
        <v>5094.2857142857138</v>
      </c>
      <c r="Z87" s="36">
        <f t="shared" si="259"/>
        <v>5130</v>
      </c>
      <c r="AA87" s="36">
        <f t="shared" si="259"/>
        <v>5094.2857142857138</v>
      </c>
      <c r="AB87" s="36">
        <f t="shared" si="259"/>
        <v>5130</v>
      </c>
      <c r="AC87" s="53"/>
      <c r="AD87" s="53"/>
      <c r="AE87" s="36">
        <f>AE85*AE83</f>
        <v>5022.8571428571422</v>
      </c>
      <c r="AF87" s="36">
        <f t="shared" ref="AF87:AP87" si="260">AF85*AF83</f>
        <v>5130</v>
      </c>
      <c r="AG87" s="36">
        <f t="shared" si="260"/>
        <v>5094.2857142857138</v>
      </c>
      <c r="AH87" s="36">
        <f t="shared" si="260"/>
        <v>6167.1428571428569</v>
      </c>
      <c r="AI87" s="36">
        <f t="shared" si="260"/>
        <v>6131.4285714285706</v>
      </c>
      <c r="AJ87" s="36">
        <f t="shared" si="260"/>
        <v>6167.1428571428569</v>
      </c>
      <c r="AK87" s="36">
        <f t="shared" si="260"/>
        <v>7168.5714285714294</v>
      </c>
      <c r="AL87" s="36">
        <f t="shared" si="260"/>
        <v>7204.2857142857138</v>
      </c>
      <c r="AM87" s="36">
        <f t="shared" si="260"/>
        <v>8205.7142857142862</v>
      </c>
      <c r="AN87" s="36">
        <f t="shared" si="260"/>
        <v>9278.5714285714294</v>
      </c>
      <c r="AO87" s="36">
        <f t="shared" si="260"/>
        <v>9242.8571428571449</v>
      </c>
      <c r="AP87" s="36">
        <f t="shared" si="260"/>
        <v>9278.5714285714294</v>
      </c>
      <c r="AQ87" s="118"/>
      <c r="AR87" s="118"/>
      <c r="AS87" s="53"/>
    </row>
    <row r="88" spans="1:45" s="20" customFormat="1" ht="10.5" x14ac:dyDescent="0.35">
      <c r="A88" s="20" t="str">
        <f>"Чистая приведенная стоимость (NPV) нарастающим итогом,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нарастающим итогом, USD</v>
      </c>
      <c r="B88" s="25"/>
      <c r="C88" s="36">
        <f>B88+C87</f>
        <v>-91.428571428572468</v>
      </c>
      <c r="D88" s="36">
        <f t="shared" ref="D88:N88" si="261">C88+D87</f>
        <v>889.99999999999909</v>
      </c>
      <c r="E88" s="36">
        <f t="shared" si="261"/>
        <v>1835.7142857142844</v>
      </c>
      <c r="F88" s="36">
        <f t="shared" si="261"/>
        <v>3854.2857142857124</v>
      </c>
      <c r="G88" s="36">
        <f t="shared" si="261"/>
        <v>6874.2857142857119</v>
      </c>
      <c r="H88" s="36">
        <f t="shared" si="261"/>
        <v>9929.9999999999964</v>
      </c>
      <c r="I88" s="36">
        <f t="shared" si="261"/>
        <v>12949.999999999996</v>
      </c>
      <c r="J88" s="36">
        <f t="shared" si="261"/>
        <v>16005.714285714281</v>
      </c>
      <c r="K88" s="36">
        <f t="shared" si="261"/>
        <v>19025.714285714279</v>
      </c>
      <c r="L88" s="36">
        <f t="shared" si="261"/>
        <v>22081.428571428565</v>
      </c>
      <c r="M88" s="36">
        <f t="shared" si="261"/>
        <v>26138.57142857142</v>
      </c>
      <c r="N88" s="36">
        <f t="shared" si="261"/>
        <v>30231.428571428562</v>
      </c>
      <c r="O88" s="53"/>
      <c r="P88" s="53"/>
      <c r="Q88" s="36">
        <f>N88+Q87</f>
        <v>34217.142857142848</v>
      </c>
      <c r="R88" s="36">
        <f t="shared" ref="R88:AB88" si="262">Q88+R87</f>
        <v>38309.999999999993</v>
      </c>
      <c r="S88" s="36">
        <f t="shared" si="262"/>
        <v>42367.142857142848</v>
      </c>
      <c r="T88" s="36">
        <f t="shared" si="262"/>
        <v>46459.999999999993</v>
      </c>
      <c r="U88" s="36">
        <f t="shared" si="262"/>
        <v>50517.142857142848</v>
      </c>
      <c r="V88" s="36">
        <f t="shared" si="262"/>
        <v>54609.999999999993</v>
      </c>
      <c r="W88" s="36">
        <f t="shared" si="262"/>
        <v>58667.142857142848</v>
      </c>
      <c r="X88" s="36">
        <f t="shared" si="262"/>
        <v>63797.142857142848</v>
      </c>
      <c r="Y88" s="36">
        <f t="shared" si="262"/>
        <v>68891.428571428565</v>
      </c>
      <c r="Z88" s="36">
        <f t="shared" si="262"/>
        <v>74021.428571428565</v>
      </c>
      <c r="AA88" s="36">
        <f t="shared" si="262"/>
        <v>79115.714285714275</v>
      </c>
      <c r="AB88" s="36">
        <f t="shared" si="262"/>
        <v>84245.714285714275</v>
      </c>
      <c r="AC88" s="53"/>
      <c r="AD88" s="53"/>
      <c r="AE88" s="36">
        <f>AB88+AE87</f>
        <v>89268.57142857142</v>
      </c>
      <c r="AF88" s="36">
        <f t="shared" ref="AF88:AP88" si="263">AE88+AF87</f>
        <v>94398.57142857142</v>
      </c>
      <c r="AG88" s="36">
        <f t="shared" si="263"/>
        <v>99492.85714285713</v>
      </c>
      <c r="AH88" s="36">
        <f t="shared" si="263"/>
        <v>105659.99999999999</v>
      </c>
      <c r="AI88" s="36">
        <f t="shared" si="263"/>
        <v>111791.42857142855</v>
      </c>
      <c r="AJ88" s="36">
        <f t="shared" si="263"/>
        <v>117958.57142857141</v>
      </c>
      <c r="AK88" s="36">
        <f t="shared" si="263"/>
        <v>125127.14285714284</v>
      </c>
      <c r="AL88" s="36">
        <f t="shared" si="263"/>
        <v>132331.42857142855</v>
      </c>
      <c r="AM88" s="36">
        <f t="shared" si="263"/>
        <v>140537.14285714284</v>
      </c>
      <c r="AN88" s="36">
        <f t="shared" si="263"/>
        <v>149815.71428571426</v>
      </c>
      <c r="AO88" s="36">
        <f t="shared" si="263"/>
        <v>159058.57142857142</v>
      </c>
      <c r="AP88" s="36">
        <f t="shared" si="263"/>
        <v>168337.14285714284</v>
      </c>
      <c r="AQ88" s="118"/>
      <c r="AR88" s="118"/>
      <c r="AS88" s="53"/>
    </row>
    <row r="89" spans="1:45" s="20" customFormat="1" ht="10.5" x14ac:dyDescent="0.35">
      <c r="A89" s="23"/>
      <c r="B89" s="54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118"/>
      <c r="P89" s="118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18"/>
      <c r="AD89" s="118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118"/>
      <c r="AR89" s="118"/>
      <c r="AS89" s="22"/>
    </row>
    <row r="90" spans="1:45" s="20" customFormat="1" ht="10.5" x14ac:dyDescent="0.4">
      <c r="A90" s="103" t="str">
        <f>"Чистая приведенная стоимость (NPV) на конец 3-го года,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 конец 3-го года, USD</v>
      </c>
      <c r="B90" s="55">
        <f>AP88</f>
        <v>168337.14285714284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118"/>
      <c r="P90" s="118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18"/>
      <c r="AD90" s="118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118"/>
      <c r="AR90" s="118"/>
      <c r="AS90" s="22"/>
    </row>
    <row r="91" spans="1:45" s="20" customFormat="1" ht="10.5" x14ac:dyDescent="0.4">
      <c r="A91" s="103" t="s">
        <v>22</v>
      </c>
      <c r="B91" s="55">
        <f>B90/AS38</f>
        <v>6.3715799718827721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118"/>
      <c r="P91" s="118"/>
      <c r="Q91" s="27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18"/>
      <c r="AD91" s="118"/>
      <c r="AE91" s="27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118"/>
      <c r="AR91" s="118"/>
      <c r="AS91" s="22"/>
    </row>
    <row r="92" spans="1:45" s="20" customFormat="1" ht="10.5" x14ac:dyDescent="0.4">
      <c r="A92" s="104" t="s">
        <v>64</v>
      </c>
      <c r="B92" s="105">
        <f>IF(AS97&lt;0,"проект не окупается",AS97)</f>
        <v>12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118"/>
      <c r="P92" s="118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18"/>
      <c r="AD92" s="118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118"/>
      <c r="AR92" s="118"/>
      <c r="AS92" s="22"/>
    </row>
    <row r="93" spans="1:45" s="13" customFormat="1" ht="10.5" x14ac:dyDescent="0.4">
      <c r="A93" s="104" t="s">
        <v>48</v>
      </c>
      <c r="B93" s="105">
        <f>IF(AS98&lt;0,"проект не окупается",AS98)</f>
        <v>2</v>
      </c>
      <c r="C93" s="42"/>
      <c r="D93" s="42"/>
      <c r="E93" s="41"/>
      <c r="F93" s="41"/>
      <c r="G93" s="41"/>
      <c r="H93" s="42"/>
      <c r="I93" s="40"/>
      <c r="J93" s="40"/>
      <c r="K93" s="40"/>
      <c r="L93" s="40"/>
      <c r="M93" s="40"/>
      <c r="N93" s="40"/>
      <c r="O93" s="119"/>
      <c r="P93" s="119"/>
      <c r="Q93" s="42"/>
      <c r="R93" s="42"/>
      <c r="S93" s="41"/>
      <c r="T93" s="41"/>
      <c r="U93" s="41"/>
      <c r="V93" s="42"/>
      <c r="W93" s="40"/>
      <c r="X93" s="40"/>
      <c r="Y93" s="40"/>
      <c r="Z93" s="40"/>
      <c r="AA93" s="40"/>
      <c r="AB93" s="40"/>
      <c r="AC93" s="119"/>
      <c r="AD93" s="119"/>
      <c r="AE93" s="42"/>
      <c r="AF93" s="42"/>
      <c r="AG93" s="41"/>
      <c r="AH93" s="41"/>
      <c r="AI93" s="41"/>
      <c r="AJ93" s="42"/>
      <c r="AK93" s="40"/>
      <c r="AL93" s="40"/>
      <c r="AM93" s="40"/>
      <c r="AN93" s="40"/>
      <c r="AO93" s="40"/>
      <c r="AP93" s="40"/>
      <c r="AQ93" s="119"/>
      <c r="AR93" s="119"/>
      <c r="AS93" s="40"/>
    </row>
    <row r="94" spans="1:45" s="20" customFormat="1" ht="10.5" x14ac:dyDescent="0.4">
      <c r="B94" s="27"/>
      <c r="C94" s="52"/>
      <c r="E94" s="57"/>
      <c r="O94" s="56"/>
      <c r="P94" s="56"/>
      <c r="Q94" s="52"/>
      <c r="S94" s="57"/>
      <c r="AC94" s="56"/>
      <c r="AD94" s="56"/>
      <c r="AE94" s="52"/>
      <c r="AG94" s="57"/>
      <c r="AQ94" s="56"/>
      <c r="AR94" s="56"/>
    </row>
    <row r="95" spans="1:45" s="128" customFormat="1" ht="10.5" hidden="1" x14ac:dyDescent="0.4">
      <c r="B95" s="129" t="s">
        <v>36</v>
      </c>
      <c r="C95" s="129">
        <f t="shared" ref="C95:N95" si="264">IF(C70&gt;0,0,1)</f>
        <v>1</v>
      </c>
      <c r="D95" s="129">
        <f t="shared" si="264"/>
        <v>1</v>
      </c>
      <c r="E95" s="129">
        <f t="shared" si="264"/>
        <v>1</v>
      </c>
      <c r="F95" s="129">
        <f t="shared" si="264"/>
        <v>1</v>
      </c>
      <c r="G95" s="129">
        <f t="shared" si="264"/>
        <v>1</v>
      </c>
      <c r="H95" s="129">
        <f t="shared" si="264"/>
        <v>1</v>
      </c>
      <c r="I95" s="129">
        <f t="shared" si="264"/>
        <v>1</v>
      </c>
      <c r="J95" s="129">
        <f t="shared" si="264"/>
        <v>1</v>
      </c>
      <c r="K95" s="129">
        <f t="shared" si="264"/>
        <v>1</v>
      </c>
      <c r="L95" s="129">
        <f t="shared" si="264"/>
        <v>1</v>
      </c>
      <c r="M95" s="129">
        <f t="shared" si="264"/>
        <v>1</v>
      </c>
      <c r="N95" s="129">
        <f t="shared" si="264"/>
        <v>0</v>
      </c>
      <c r="O95" s="130"/>
      <c r="P95" s="130"/>
      <c r="Q95" s="129">
        <f t="shared" ref="Q95:AB95" si="265">IF(Q70&gt;0,0,1)</f>
        <v>0</v>
      </c>
      <c r="R95" s="129">
        <f t="shared" si="265"/>
        <v>0</v>
      </c>
      <c r="S95" s="129">
        <f t="shared" si="265"/>
        <v>0</v>
      </c>
      <c r="T95" s="129">
        <f t="shared" si="265"/>
        <v>0</v>
      </c>
      <c r="U95" s="129">
        <f t="shared" si="265"/>
        <v>0</v>
      </c>
      <c r="V95" s="129">
        <f t="shared" si="265"/>
        <v>0</v>
      </c>
      <c r="W95" s="129">
        <f t="shared" si="265"/>
        <v>0</v>
      </c>
      <c r="X95" s="129">
        <f t="shared" si="265"/>
        <v>0</v>
      </c>
      <c r="Y95" s="129">
        <f t="shared" si="265"/>
        <v>0</v>
      </c>
      <c r="Z95" s="129">
        <f t="shared" si="265"/>
        <v>0</v>
      </c>
      <c r="AA95" s="129">
        <f t="shared" si="265"/>
        <v>0</v>
      </c>
      <c r="AB95" s="129">
        <f t="shared" si="265"/>
        <v>0</v>
      </c>
      <c r="AC95" s="130"/>
      <c r="AD95" s="130"/>
      <c r="AE95" s="129">
        <f t="shared" ref="AE95:AP95" si="266">IF(AE70&gt;0,0,1)</f>
        <v>0</v>
      </c>
      <c r="AF95" s="129">
        <f t="shared" si="266"/>
        <v>0</v>
      </c>
      <c r="AG95" s="129">
        <f t="shared" si="266"/>
        <v>0</v>
      </c>
      <c r="AH95" s="129">
        <f t="shared" si="266"/>
        <v>0</v>
      </c>
      <c r="AI95" s="129">
        <f t="shared" si="266"/>
        <v>0</v>
      </c>
      <c r="AJ95" s="129">
        <f t="shared" si="266"/>
        <v>0</v>
      </c>
      <c r="AK95" s="129">
        <f t="shared" si="266"/>
        <v>0</v>
      </c>
      <c r="AL95" s="129">
        <f t="shared" si="266"/>
        <v>0</v>
      </c>
      <c r="AM95" s="129">
        <f t="shared" si="266"/>
        <v>0</v>
      </c>
      <c r="AN95" s="129">
        <f t="shared" si="266"/>
        <v>0</v>
      </c>
      <c r="AO95" s="129">
        <f t="shared" si="266"/>
        <v>0</v>
      </c>
      <c r="AP95" s="129">
        <f t="shared" si="266"/>
        <v>0</v>
      </c>
      <c r="AQ95" s="130"/>
      <c r="AR95" s="130"/>
      <c r="AS95" s="128">
        <f>SUM(C95:AP95)</f>
        <v>11</v>
      </c>
    </row>
    <row r="96" spans="1:45" s="129" customFormat="1" ht="10.199999999999999" hidden="1" x14ac:dyDescent="0.35">
      <c r="B96" s="129" t="s">
        <v>47</v>
      </c>
      <c r="C96" s="129">
        <f>IF(C69&gt;0,0,1)</f>
        <v>1</v>
      </c>
      <c r="D96" s="129">
        <f t="shared" ref="D96:N96" si="267">IF(D69+C69&gt;0,0,1)</f>
        <v>0</v>
      </c>
      <c r="E96" s="129">
        <f t="shared" si="267"/>
        <v>0</v>
      </c>
      <c r="F96" s="129">
        <f t="shared" si="267"/>
        <v>0</v>
      </c>
      <c r="G96" s="129">
        <f t="shared" si="267"/>
        <v>0</v>
      </c>
      <c r="H96" s="129">
        <f t="shared" si="267"/>
        <v>0</v>
      </c>
      <c r="I96" s="129">
        <f t="shared" si="267"/>
        <v>0</v>
      </c>
      <c r="J96" s="129">
        <f t="shared" si="267"/>
        <v>0</v>
      </c>
      <c r="K96" s="129">
        <f t="shared" si="267"/>
        <v>0</v>
      </c>
      <c r="L96" s="129">
        <f t="shared" si="267"/>
        <v>0</v>
      </c>
      <c r="M96" s="129">
        <f t="shared" si="267"/>
        <v>0</v>
      </c>
      <c r="N96" s="129">
        <f t="shared" si="267"/>
        <v>0</v>
      </c>
      <c r="Q96" s="129">
        <f>IF(Q69+N69&gt;0,0,1)</f>
        <v>0</v>
      </c>
      <c r="R96" s="129">
        <f t="shared" ref="R96:AB96" si="268">IF(R69+Q69&gt;0,0,1)</f>
        <v>0</v>
      </c>
      <c r="S96" s="129">
        <f t="shared" si="268"/>
        <v>0</v>
      </c>
      <c r="T96" s="129">
        <f t="shared" si="268"/>
        <v>0</v>
      </c>
      <c r="U96" s="129">
        <f t="shared" si="268"/>
        <v>0</v>
      </c>
      <c r="V96" s="129">
        <f t="shared" si="268"/>
        <v>0</v>
      </c>
      <c r="W96" s="129">
        <f t="shared" si="268"/>
        <v>0</v>
      </c>
      <c r="X96" s="129">
        <f t="shared" si="268"/>
        <v>0</v>
      </c>
      <c r="Y96" s="129">
        <f t="shared" si="268"/>
        <v>0</v>
      </c>
      <c r="Z96" s="129">
        <f t="shared" si="268"/>
        <v>0</v>
      </c>
      <c r="AA96" s="129">
        <f t="shared" si="268"/>
        <v>0</v>
      </c>
      <c r="AB96" s="129">
        <f t="shared" si="268"/>
        <v>0</v>
      </c>
      <c r="AE96" s="129">
        <f>IF(AE69+AB69&gt;0,0,1)</f>
        <v>0</v>
      </c>
      <c r="AF96" s="129">
        <f t="shared" ref="AF96:AP96" si="269">IF(AF69+AE69&gt;0,0,1)</f>
        <v>0</v>
      </c>
      <c r="AG96" s="129">
        <f t="shared" si="269"/>
        <v>0</v>
      </c>
      <c r="AH96" s="129">
        <f t="shared" si="269"/>
        <v>0</v>
      </c>
      <c r="AI96" s="129">
        <f t="shared" si="269"/>
        <v>0</v>
      </c>
      <c r="AJ96" s="129">
        <f t="shared" si="269"/>
        <v>0</v>
      </c>
      <c r="AK96" s="129">
        <f t="shared" si="269"/>
        <v>0</v>
      </c>
      <c r="AL96" s="129">
        <f t="shared" si="269"/>
        <v>0</v>
      </c>
      <c r="AM96" s="129">
        <f t="shared" si="269"/>
        <v>0</v>
      </c>
      <c r="AN96" s="129">
        <f t="shared" si="269"/>
        <v>0</v>
      </c>
      <c r="AO96" s="129">
        <f t="shared" si="269"/>
        <v>0</v>
      </c>
      <c r="AP96" s="129">
        <f t="shared" si="269"/>
        <v>0</v>
      </c>
      <c r="AS96" s="128">
        <f>SUM(C96:AP96)</f>
        <v>1</v>
      </c>
    </row>
    <row r="97" spans="1:45" s="20" customFormat="1" ht="10.5" hidden="1" x14ac:dyDescent="0.4">
      <c r="O97" s="56"/>
      <c r="P97" s="56"/>
      <c r="AC97" s="56"/>
      <c r="AD97" s="56"/>
      <c r="AQ97" s="56"/>
      <c r="AR97" s="56"/>
      <c r="AS97" s="20">
        <f>IF(AS95&lt;36,AS95+1,-AS68/AR69+37)</f>
        <v>12</v>
      </c>
    </row>
    <row r="98" spans="1:45" s="59" customFormat="1" ht="14.1" hidden="1" x14ac:dyDescent="0.5">
      <c r="A98" s="20"/>
      <c r="B98" s="58"/>
      <c r="O98" s="122"/>
      <c r="P98" s="122"/>
      <c r="AC98" s="122"/>
      <c r="AD98" s="122"/>
      <c r="AQ98" s="122"/>
      <c r="AR98" s="122"/>
      <c r="AS98" s="59">
        <f>IF(AS96&lt;36,AS96+1,-AS68/AR69+37)</f>
        <v>2</v>
      </c>
    </row>
    <row r="99" spans="1:45" s="59" customFormat="1" ht="14.1" hidden="1" x14ac:dyDescent="0.5">
      <c r="A99" s="20"/>
      <c r="B99" s="58"/>
      <c r="O99" s="122"/>
      <c r="P99" s="122"/>
      <c r="AC99" s="122"/>
      <c r="AD99" s="122"/>
      <c r="AQ99" s="122"/>
      <c r="AR99" s="122"/>
    </row>
    <row r="100" spans="1:45" s="59" customFormat="1" ht="14.1" x14ac:dyDescent="0.5">
      <c r="A100" s="20"/>
      <c r="B100" s="58"/>
      <c r="O100" s="122"/>
      <c r="P100" s="122"/>
      <c r="AC100" s="122"/>
      <c r="AD100" s="122"/>
      <c r="AQ100" s="122"/>
      <c r="AR100" s="122"/>
    </row>
    <row r="101" spans="1:45" s="59" customFormat="1" ht="14.1" x14ac:dyDescent="0.5">
      <c r="A101" s="20"/>
      <c r="B101" s="58"/>
      <c r="O101" s="122"/>
      <c r="P101" s="122"/>
      <c r="AC101" s="122"/>
      <c r="AD101" s="122"/>
      <c r="AQ101" s="122"/>
      <c r="AR101" s="122"/>
    </row>
    <row r="102" spans="1:45" s="59" customFormat="1" ht="14.1" x14ac:dyDescent="0.5">
      <c r="A102" s="20"/>
      <c r="B102" s="58"/>
      <c r="O102" s="122"/>
      <c r="P102" s="122"/>
      <c r="AC102" s="122"/>
      <c r="AD102" s="122"/>
      <c r="AQ102" s="122"/>
      <c r="AR102" s="122"/>
    </row>
    <row r="103" spans="1:45" s="59" customFormat="1" ht="14.1" x14ac:dyDescent="0.5">
      <c r="A103" s="20"/>
      <c r="B103" s="58"/>
      <c r="O103" s="122"/>
      <c r="P103" s="122"/>
      <c r="AC103" s="122"/>
      <c r="AD103" s="122"/>
      <c r="AQ103" s="122"/>
      <c r="AR103" s="122"/>
    </row>
    <row r="104" spans="1:45" s="59" customFormat="1" ht="14.1" x14ac:dyDescent="0.5">
      <c r="A104" s="20"/>
      <c r="B104" s="58"/>
      <c r="O104" s="122"/>
      <c r="P104" s="122"/>
      <c r="AC104" s="122"/>
      <c r="AD104" s="122"/>
      <c r="AQ104" s="122"/>
      <c r="AR104" s="122"/>
    </row>
    <row r="105" spans="1:45" s="59" customFormat="1" ht="14.1" x14ac:dyDescent="0.5">
      <c r="A105" s="20"/>
      <c r="B105" s="58"/>
      <c r="O105" s="122"/>
      <c r="P105" s="122"/>
      <c r="AC105" s="122"/>
      <c r="AD105" s="122"/>
      <c r="AQ105" s="122"/>
      <c r="AR105" s="122"/>
    </row>
    <row r="106" spans="1:45" s="59" customFormat="1" ht="14.1" x14ac:dyDescent="0.5">
      <c r="A106" s="20"/>
      <c r="B106" s="58"/>
      <c r="O106" s="122"/>
      <c r="P106" s="122"/>
      <c r="AC106" s="122"/>
      <c r="AD106" s="122"/>
      <c r="AQ106" s="122"/>
      <c r="AR106" s="122"/>
    </row>
    <row r="107" spans="1:45" s="59" customFormat="1" ht="14.1" x14ac:dyDescent="0.5">
      <c r="A107" s="20"/>
      <c r="B107" s="58"/>
      <c r="O107" s="122"/>
      <c r="P107" s="122"/>
      <c r="AC107" s="122"/>
      <c r="AD107" s="122"/>
      <c r="AQ107" s="122"/>
      <c r="AR107" s="122"/>
    </row>
    <row r="108" spans="1:45" s="59" customFormat="1" ht="14.1" x14ac:dyDescent="0.5">
      <c r="A108" s="20"/>
      <c r="B108" s="58"/>
      <c r="O108" s="122"/>
      <c r="P108" s="122"/>
      <c r="AC108" s="122"/>
      <c r="AD108" s="122"/>
      <c r="AQ108" s="122"/>
      <c r="AR108" s="122"/>
    </row>
    <row r="109" spans="1:45" s="59" customFormat="1" ht="14.1" x14ac:dyDescent="0.5">
      <c r="A109" s="20"/>
      <c r="B109" s="58"/>
      <c r="O109" s="122"/>
      <c r="P109" s="122"/>
      <c r="AC109" s="122"/>
      <c r="AD109" s="122"/>
      <c r="AQ109" s="122"/>
      <c r="AR109" s="122"/>
    </row>
    <row r="110" spans="1:45" s="59" customFormat="1" ht="14.1" x14ac:dyDescent="0.5">
      <c r="A110" s="20"/>
      <c r="B110" s="58"/>
      <c r="O110" s="122"/>
      <c r="P110" s="122"/>
      <c r="AC110" s="122"/>
      <c r="AD110" s="122"/>
      <c r="AQ110" s="122"/>
      <c r="AR110" s="122"/>
    </row>
    <row r="111" spans="1:45" s="59" customFormat="1" ht="14.1" x14ac:dyDescent="0.5">
      <c r="A111" s="20"/>
      <c r="B111" s="58"/>
      <c r="O111" s="122"/>
      <c r="P111" s="122"/>
      <c r="AC111" s="122"/>
      <c r="AD111" s="122"/>
      <c r="AQ111" s="122"/>
      <c r="AR111" s="122"/>
    </row>
  </sheetData>
  <mergeCells count="8">
    <mergeCell ref="A1:B1"/>
    <mergeCell ref="AS12:AS13"/>
    <mergeCell ref="C5:P5"/>
    <mergeCell ref="C12:P12"/>
    <mergeCell ref="Q5:AD5"/>
    <mergeCell ref="Q12:AD12"/>
    <mergeCell ref="AE5:AR5"/>
    <mergeCell ref="AE12:AR12"/>
  </mergeCells>
  <conditionalFormatting sqref="C9:N10">
    <cfRule type="cellIs" dxfId="14" priority="26" operator="lessThan">
      <formula>1</formula>
    </cfRule>
    <cfRule type="cellIs" dxfId="13" priority="27" operator="greaterThan">
      <formula>1</formula>
    </cfRule>
  </conditionalFormatting>
  <conditionalFormatting sqref="C7:N8">
    <cfRule type="cellIs" dxfId="12" priority="37" operator="lessThan">
      <formula>1</formula>
    </cfRule>
    <cfRule type="cellIs" dxfId="11" priority="38" operator="greaterThan">
      <formula>1</formula>
    </cfRule>
  </conditionalFormatting>
  <conditionalFormatting sqref="C9:N9">
    <cfRule type="cellIs" dxfId="10" priority="28" operator="lessThan">
      <formula>1</formula>
    </cfRule>
  </conditionalFormatting>
  <conditionalFormatting sqref="Q7:AB8">
    <cfRule type="cellIs" dxfId="9" priority="13" operator="lessThan">
      <formula>1</formula>
    </cfRule>
    <cfRule type="cellIs" dxfId="8" priority="14" operator="greaterThan">
      <formula>1</formula>
    </cfRule>
  </conditionalFormatting>
  <conditionalFormatting sqref="AE9:AP9">
    <cfRule type="cellIs" dxfId="7" priority="6" operator="lessThan">
      <formula>1</formula>
    </cfRule>
  </conditionalFormatting>
  <conditionalFormatting sqref="AE9:AP10">
    <cfRule type="cellIs" dxfId="6" priority="4" operator="lessThan">
      <formula>1</formula>
    </cfRule>
    <cfRule type="cellIs" dxfId="5" priority="5" operator="greaterThan">
      <formula>1</formula>
    </cfRule>
  </conditionalFormatting>
  <conditionalFormatting sqref="Q9:AB9">
    <cfRule type="cellIs" dxfId="4" priority="12" operator="lessThan">
      <formula>1</formula>
    </cfRule>
  </conditionalFormatting>
  <conditionalFormatting sqref="Q9:AB10">
    <cfRule type="cellIs" dxfId="3" priority="10" operator="lessThan">
      <formula>1</formula>
    </cfRule>
    <cfRule type="cellIs" dxfId="2" priority="11" operator="greaterThan">
      <formula>1</formula>
    </cfRule>
  </conditionalFormatting>
  <conditionalFormatting sqref="AE7:AP8">
    <cfRule type="cellIs" dxfId="1" priority="7" operator="lessThan">
      <formula>1</formula>
    </cfRule>
    <cfRule type="cellIs" dxfId="0" priority="8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7" fitToHeight="2" orientation="landscape" horizontalDpi="300" verticalDpi="300" r:id="rId1"/>
  <headerFooter alignWithMargins="0"/>
  <colBreaks count="2" manualBreakCount="2">
    <brk id="16" min="4" max="109" man="1"/>
    <brk id="30" min="4" max="10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Исходные данные</vt:lpstr>
      <vt:lpstr>Инвестиции в оборудование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'Инвестиции в оборудование'!Область_печати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2018-02-22T15:52:33Z</cp:lastPrinted>
  <dcterms:created xsi:type="dcterms:W3CDTF">2013-12-25T12:04:54Z</dcterms:created>
  <dcterms:modified xsi:type="dcterms:W3CDTF">2018-02-22T15:53:31Z</dcterms:modified>
</cp:coreProperties>
</file>