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/>
  <bookViews>
    <workbookView xWindow="0" yWindow="0" windowWidth="3285" windowHeight="1215"/>
  </bookViews>
  <sheets>
    <sheet name="Основной" sheetId="1" r:id="rId1"/>
    <sheet name="Справочные данные" sheetId="2" state="hidden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/>
  <c r="B37"/>
  <c r="C36"/>
  <c r="B36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23"/>
  <c r="B23"/>
  <c r="C22"/>
  <c r="B22"/>
  <c r="C19"/>
  <c r="B19"/>
  <c r="T15"/>
  <c r="J15"/>
  <c r="I15"/>
  <c r="J14"/>
  <c r="I14"/>
  <c r="I10"/>
  <c r="L10" s="1"/>
  <c r="I9"/>
  <c r="O9" s="1"/>
  <c r="C9"/>
  <c r="I8"/>
  <c r="C8"/>
  <c r="C7"/>
  <c r="N2"/>
  <c r="B2"/>
  <c r="C28" i="1"/>
  <c r="C26"/>
  <c r="C22"/>
  <c r="C21"/>
  <c r="C20"/>
  <c r="H19"/>
  <c r="C18"/>
  <c r="H17"/>
  <c r="I25" s="1"/>
  <c r="C17"/>
  <c r="C16"/>
  <c r="H11"/>
  <c r="B3" i="2" s="1"/>
  <c r="C11" i="1"/>
  <c r="C7"/>
  <c r="H18" l="1"/>
  <c r="I26" s="1"/>
  <c r="I27"/>
  <c r="C23"/>
  <c r="C8" s="1"/>
  <c r="C6" s="1"/>
  <c r="B12" i="2"/>
  <c r="N9"/>
  <c r="J9"/>
  <c r="J10"/>
  <c r="K18" i="1" s="1"/>
  <c r="L9" i="2"/>
  <c r="B32"/>
  <c r="R15"/>
  <c r="P15"/>
  <c r="N15"/>
  <c r="L15"/>
  <c r="T14"/>
  <c r="R14"/>
  <c r="P14"/>
  <c r="N14"/>
  <c r="L14"/>
  <c r="N8"/>
  <c r="L8"/>
  <c r="J8"/>
  <c r="M8"/>
  <c r="K14"/>
  <c r="O14"/>
  <c r="S14"/>
  <c r="M15"/>
  <c r="Q15"/>
  <c r="C32"/>
  <c r="C50"/>
  <c r="D49"/>
  <c r="D50" s="1"/>
  <c r="E49"/>
  <c r="E50" s="1"/>
  <c r="O8"/>
  <c r="B11"/>
  <c r="M14"/>
  <c r="Q14"/>
  <c r="K15"/>
  <c r="O15"/>
  <c r="S15"/>
  <c r="M9"/>
  <c r="L39" l="1"/>
  <c r="K28"/>
  <c r="N39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I39"/>
  <c r="M28"/>
  <c r="E20"/>
  <c r="J21"/>
  <c r="G39"/>
  <c r="F39"/>
  <c r="K39"/>
  <c r="B39"/>
  <c r="B40" s="1"/>
  <c r="B47" s="1"/>
  <c r="J39"/>
  <c r="C39"/>
  <c r="E39"/>
  <c r="M39"/>
  <c r="D39"/>
  <c r="H39"/>
  <c r="F28"/>
  <c r="K9"/>
  <c r="B28"/>
  <c r="E28"/>
  <c r="I20"/>
  <c r="B14"/>
  <c r="C27" i="1" s="1"/>
  <c r="C30" s="1"/>
  <c r="N20" i="2"/>
  <c r="I28"/>
  <c r="N28"/>
  <c r="M20"/>
  <c r="P9"/>
  <c r="C12"/>
  <c r="C28"/>
  <c r="G28"/>
  <c r="G20"/>
  <c r="K20"/>
  <c r="L21"/>
  <c r="D21"/>
  <c r="K10"/>
  <c r="I21"/>
  <c r="N21"/>
  <c r="E21"/>
  <c r="M21"/>
  <c r="F21"/>
  <c r="H21"/>
  <c r="P10"/>
  <c r="G21"/>
  <c r="K21"/>
  <c r="H28"/>
  <c r="F20"/>
  <c r="J20"/>
  <c r="N27"/>
  <c r="L27"/>
  <c r="J27"/>
  <c r="H27"/>
  <c r="F27"/>
  <c r="D27"/>
  <c r="B27"/>
  <c r="M19"/>
  <c r="K19"/>
  <c r="K22" s="1"/>
  <c r="I19"/>
  <c r="G19"/>
  <c r="E19"/>
  <c r="C11"/>
  <c r="C14" s="1"/>
  <c r="P8"/>
  <c r="K27"/>
  <c r="K33" s="1"/>
  <c r="G27"/>
  <c r="C27"/>
  <c r="L19"/>
  <c r="H19"/>
  <c r="D19"/>
  <c r="K8"/>
  <c r="M27"/>
  <c r="I27"/>
  <c r="I33" s="1"/>
  <c r="E27"/>
  <c r="N19"/>
  <c r="J19"/>
  <c r="F19"/>
  <c r="F22" s="1"/>
  <c r="J28"/>
  <c r="L28"/>
  <c r="D28"/>
  <c r="D20"/>
  <c r="H20"/>
  <c r="L20"/>
  <c r="J22" l="1"/>
  <c r="J23" s="1"/>
  <c r="J36" s="1"/>
  <c r="C40"/>
  <c r="F33"/>
  <c r="AC33"/>
  <c r="S33"/>
  <c r="V33"/>
  <c r="AI33"/>
  <c r="N33"/>
  <c r="AD33"/>
  <c r="G33"/>
  <c r="AA33"/>
  <c r="U33"/>
  <c r="AK33"/>
  <c r="R33"/>
  <c r="Z33"/>
  <c r="AH33"/>
  <c r="O33"/>
  <c r="W33"/>
  <c r="AE33"/>
  <c r="Q33"/>
  <c r="Y33"/>
  <c r="AG33"/>
  <c r="H33"/>
  <c r="P33"/>
  <c r="T33"/>
  <c r="X33"/>
  <c r="AB33"/>
  <c r="AF33"/>
  <c r="AJ33"/>
  <c r="E33"/>
  <c r="M33"/>
  <c r="M22"/>
  <c r="M34" s="1"/>
  <c r="I22"/>
  <c r="I23" s="1"/>
  <c r="I36" s="1"/>
  <c r="N22"/>
  <c r="AJ34" s="1"/>
  <c r="E22"/>
  <c r="E34" s="1"/>
  <c r="D33"/>
  <c r="L33"/>
  <c r="H22"/>
  <c r="H23" s="1"/>
  <c r="H36" s="1"/>
  <c r="G22"/>
  <c r="G34" s="1"/>
  <c r="J33"/>
  <c r="F34"/>
  <c r="F23"/>
  <c r="F36" s="1"/>
  <c r="K23"/>
  <c r="K36" s="1"/>
  <c r="K34"/>
  <c r="J34"/>
  <c r="D22"/>
  <c r="L22"/>
  <c r="W34" l="1"/>
  <c r="E23"/>
  <c r="E36" s="1"/>
  <c r="E35" s="1"/>
  <c r="E37" s="1"/>
  <c r="E38" s="1"/>
  <c r="M23"/>
  <c r="M36" s="1"/>
  <c r="Q34"/>
  <c r="V34"/>
  <c r="AG34"/>
  <c r="N34"/>
  <c r="AD34"/>
  <c r="I34"/>
  <c r="H34"/>
  <c r="Y34"/>
  <c r="O34"/>
  <c r="AE34"/>
  <c r="R34"/>
  <c r="Z34"/>
  <c r="AH34"/>
  <c r="G23"/>
  <c r="G36" s="1"/>
  <c r="G35" s="1"/>
  <c r="G37" s="1"/>
  <c r="G38" s="1"/>
  <c r="N23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U34"/>
  <c r="AC34"/>
  <c r="AK34"/>
  <c r="S34"/>
  <c r="AA34"/>
  <c r="AI34"/>
  <c r="P34"/>
  <c r="T34"/>
  <c r="X34"/>
  <c r="AB34"/>
  <c r="AF34"/>
  <c r="L34"/>
  <c r="L23"/>
  <c r="L36" s="1"/>
  <c r="J35"/>
  <c r="J37" s="1"/>
  <c r="J38" s="1"/>
  <c r="H35"/>
  <c r="N35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M35"/>
  <c r="M37" s="1"/>
  <c r="M38" s="1"/>
  <c r="I35"/>
  <c r="D34"/>
  <c r="D23"/>
  <c r="D36" s="1"/>
  <c r="K35"/>
  <c r="K37" s="1"/>
  <c r="K38" s="1"/>
  <c r="F35"/>
  <c r="F37" s="1"/>
  <c r="F38" s="1"/>
  <c r="I37" l="1"/>
  <c r="I38" s="1"/>
  <c r="H37"/>
  <c r="H38" s="1"/>
  <c r="L35"/>
  <c r="L37" s="1"/>
  <c r="L38" s="1"/>
  <c r="D35"/>
  <c r="D37" s="1"/>
  <c r="D38" s="1"/>
  <c r="N37"/>
  <c r="C47" l="1"/>
  <c r="D75" i="1"/>
  <c r="F53"/>
  <c r="E75"/>
  <c r="D76"/>
  <c r="D40" i="2"/>
  <c r="E40" s="1"/>
  <c r="F40" s="1"/>
  <c r="G40" s="1"/>
  <c r="H40" s="1"/>
  <c r="I40" s="1"/>
  <c r="J40" s="1"/>
  <c r="K40" s="1"/>
  <c r="L40" s="1"/>
  <c r="M40" s="1"/>
  <c r="N38"/>
  <c r="O37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O38" l="1"/>
  <c r="P38" s="1"/>
  <c r="Q38" s="1"/>
  <c r="R38" s="1"/>
  <c r="S38" s="1"/>
  <c r="T38" s="1"/>
  <c r="U38" s="1"/>
  <c r="V38" s="1"/>
  <c r="W38" s="1"/>
  <c r="X38" s="1"/>
  <c r="Y38" s="1"/>
  <c r="Z38" s="1"/>
  <c r="F75" i="1"/>
  <c r="F76"/>
  <c r="N41" i="2"/>
  <c r="F72" i="1" s="1"/>
  <c r="N40" i="2"/>
  <c r="O40" s="1"/>
  <c r="P40" s="1"/>
  <c r="Q40" s="1"/>
  <c r="R40" s="1"/>
  <c r="S40" s="1"/>
  <c r="T40" s="1"/>
  <c r="U40" s="1"/>
  <c r="V40" s="1"/>
  <c r="W40" s="1"/>
  <c r="X40" s="1"/>
  <c r="Y40" s="1"/>
  <c r="Z40" s="1"/>
  <c r="E76" i="1"/>
  <c r="C51" i="2"/>
  <c r="C53"/>
  <c r="D80" i="1" s="1"/>
  <c r="C52" i="2" l="1"/>
  <c r="AA38"/>
  <c r="AB38" s="1"/>
  <c r="AC38" s="1"/>
  <c r="AD38" s="1"/>
  <c r="AE38" s="1"/>
  <c r="AF38" s="1"/>
  <c r="AG38" s="1"/>
  <c r="AH38" s="1"/>
  <c r="AI38" s="1"/>
  <c r="AJ38" s="1"/>
  <c r="AK38" s="1"/>
  <c r="D47"/>
  <c r="AA40" l="1"/>
  <c r="AB40" s="1"/>
  <c r="AC40" s="1"/>
  <c r="AD40" s="1"/>
  <c r="AE40" s="1"/>
  <c r="AF40" s="1"/>
  <c r="AG40" s="1"/>
  <c r="AH40" s="1"/>
  <c r="AI40" s="1"/>
  <c r="AJ40" s="1"/>
  <c r="AK40" s="1"/>
  <c r="D51"/>
  <c r="D53"/>
  <c r="E80" i="1" s="1"/>
  <c r="E47" i="2"/>
  <c r="E51" s="1"/>
  <c r="D79" i="1"/>
  <c r="E53" i="2" l="1"/>
  <c r="F80" i="1" s="1"/>
  <c r="E52" i="2"/>
  <c r="F79" i="1" s="1"/>
  <c r="D52" i="2"/>
  <c r="E79" i="1" l="1"/>
  <c r="B54" i="2"/>
</calcChain>
</file>

<file path=xl/sharedStrings.xml><?xml version="1.0" encoding="utf-8"?>
<sst xmlns="http://schemas.openxmlformats.org/spreadsheetml/2006/main" count="123" uniqueCount="103">
  <si>
    <t>Итого затраты (включая паушальный взнос)</t>
  </si>
  <si>
    <t>Паушальный взнос</t>
  </si>
  <si>
    <t>Инвестиции в офис и оборудование</t>
  </si>
  <si>
    <t>Затраты на открытие франшизы "Универсальный Альянс"</t>
  </si>
  <si>
    <t>Кол-во сотрудников в офисе</t>
  </si>
  <si>
    <t>Постоянные расходы</t>
  </si>
  <si>
    <t>Оклады сотрудников</t>
  </si>
  <si>
    <t>Всего</t>
  </si>
  <si>
    <t>Роялти</t>
  </si>
  <si>
    <t>Прочие офисные принадлежности</t>
  </si>
  <si>
    <t>Приборы для отбора проб</t>
  </si>
  <si>
    <t>Вывеска, интерьерные логотипы</t>
  </si>
  <si>
    <t>БТЗП</t>
  </si>
  <si>
    <t>Организация лаборатории</t>
  </si>
  <si>
    <t>Брендированная одежда</t>
  </si>
  <si>
    <t>Первичная закупка топлива</t>
  </si>
  <si>
    <t>Единоразовые расходы</t>
  </si>
  <si>
    <t>Аренда офиса</t>
  </si>
  <si>
    <t>Аренда места под БТЗП</t>
  </si>
  <si>
    <t>Маркетинговый бюджет</t>
  </si>
  <si>
    <t>Маркетинговый бюджет в первые 2 месяца</t>
  </si>
  <si>
    <t>Кол-во легковых бустеров</t>
  </si>
  <si>
    <t>Кол-во пром.бустеров</t>
  </si>
  <si>
    <t>Кол-во БТЗП, 30тонн</t>
  </si>
  <si>
    <t>Кол-во пром. бустеров</t>
  </si>
  <si>
    <t>Легковые Бустеры</t>
  </si>
  <si>
    <t>Промышленные Бустеры</t>
  </si>
  <si>
    <t>Цена закупки топлива</t>
  </si>
  <si>
    <t>Цена продажи топлива</t>
  </si>
  <si>
    <t>Оклад</t>
  </si>
  <si>
    <t>Бонусы</t>
  </si>
  <si>
    <t>ГД</t>
  </si>
  <si>
    <t>Слесарь КИПиА</t>
  </si>
  <si>
    <t>Лаборант</t>
  </si>
  <si>
    <t>Прочий персонал (аутсорс)</t>
  </si>
  <si>
    <t>Итого</t>
  </si>
  <si>
    <t>Кол-во ед.</t>
  </si>
  <si>
    <t>Кол-во литров</t>
  </si>
  <si>
    <t>оборот</t>
  </si>
  <si>
    <t>ТО</t>
  </si>
  <si>
    <t>медосмотр</t>
  </si>
  <si>
    <t>расход ГСМ</t>
  </si>
  <si>
    <t>Мойка</t>
  </si>
  <si>
    <t>Закупка</t>
  </si>
  <si>
    <t>Минимально необходимые показатели</t>
  </si>
  <si>
    <t>Желаемые показатели</t>
  </si>
  <si>
    <t>Численность населения города</t>
  </si>
  <si>
    <t>Численность населения региона</t>
  </si>
  <si>
    <t>Плановые показатели отгрузки</t>
  </si>
  <si>
    <t>Легковой бустер</t>
  </si>
  <si>
    <t>Промышленный бустер</t>
  </si>
  <si>
    <t xml:space="preserve">Динамика роста </t>
  </si>
  <si>
    <t>№ месяца</t>
  </si>
  <si>
    <t>коэфф. для легкового бустера</t>
  </si>
  <si>
    <t>коэфф. для Пром.бустера и ТЗП</t>
  </si>
  <si>
    <t>Оборот в мес</t>
  </si>
  <si>
    <t>Маржа</t>
  </si>
  <si>
    <t>Бонусы водителей</t>
  </si>
  <si>
    <t>Расчет окупаемости</t>
  </si>
  <si>
    <t>Месяц</t>
  </si>
  <si>
    <t>Затраты</t>
  </si>
  <si>
    <t>НДС</t>
  </si>
  <si>
    <t>Операционная прибыль</t>
  </si>
  <si>
    <t>Прибыль</t>
  </si>
  <si>
    <t>Первоначальные затраты</t>
  </si>
  <si>
    <t>Накопительный итог</t>
  </si>
  <si>
    <t>Количество месяцев окупаемости</t>
  </si>
  <si>
    <t>Всего оборот, л</t>
  </si>
  <si>
    <t>Оборот БТЗП, л</t>
  </si>
  <si>
    <t>Оборот Пром.Бустера, л</t>
  </si>
  <si>
    <t>Оборот Лег.Бустера, л</t>
  </si>
  <si>
    <t>Маржа, рубл</t>
  </si>
  <si>
    <t>ОКУПАЕМОСТЬ, мес</t>
  </si>
  <si>
    <t>ТОЧКА БЕЗУБЫТОЧНОСТИ, мес</t>
  </si>
  <si>
    <t>Рентабельность продаж, %</t>
  </si>
  <si>
    <t>Рентабельность капитала, %</t>
  </si>
  <si>
    <t>6 месяцев</t>
  </si>
  <si>
    <t>1ый год</t>
  </si>
  <si>
    <t>2ой год</t>
  </si>
  <si>
    <t>DBV</t>
  </si>
  <si>
    <t>Период</t>
  </si>
  <si>
    <t>Ден.потоки</t>
  </si>
  <si>
    <t>Коэфф. Дисконт.</t>
  </si>
  <si>
    <t>Дисконт.прибыль</t>
  </si>
  <si>
    <t>NPV</t>
  </si>
  <si>
    <t>1 год</t>
  </si>
  <si>
    <t>2 года</t>
  </si>
  <si>
    <t>3 года</t>
  </si>
  <si>
    <t>Ставка</t>
  </si>
  <si>
    <t>Показатель дисконтирования</t>
  </si>
  <si>
    <t>IRR</t>
  </si>
  <si>
    <r>
      <t xml:space="preserve">DBV, </t>
    </r>
    <r>
      <rPr>
        <sz val="11"/>
        <color theme="1"/>
        <rFont val="Calibri"/>
        <family val="2"/>
        <charset val="204"/>
      </rPr>
      <t>кол-во лет</t>
    </r>
  </si>
  <si>
    <t>ПАКЕТ "ТОПЛИВНАЯ КОМПАНИЯ"</t>
  </si>
  <si>
    <t>Програмное обеспечение (windows, office и тп)</t>
  </si>
  <si>
    <t>Водители легк.Бустера</t>
  </si>
  <si>
    <t>Водители Пром.Бустера</t>
  </si>
  <si>
    <t>Помощник руководителя</t>
  </si>
  <si>
    <t>Инженер ГСМ</t>
  </si>
  <si>
    <t>В ячейки окрашенные желтым цветом Вы можете поставить свои значения</t>
  </si>
  <si>
    <t>Организация офиса (мебель, оргтехника)</t>
  </si>
  <si>
    <t>БТЗП (Безоператорные топливо-запрвочные пункты)</t>
  </si>
  <si>
    <t>Маркетинговый бюджет на 2 мес</t>
  </si>
  <si>
    <t>Показатель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</si>
</sst>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000"/>
    <numFmt numFmtId="166" formatCode="#,##0.00000_ ;\-#,##0.00000\ "/>
  </numFmts>
  <fonts count="12">
    <font>
      <sz val="11"/>
      <color theme="1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6"/>
      <color theme="1"/>
      <name val="Calibri"/>
      <family val="2"/>
      <charset val="204"/>
    </font>
    <font>
      <i/>
      <u/>
      <sz val="11"/>
      <color theme="1"/>
      <name val="Calibri"/>
      <family val="2"/>
      <charset val="204"/>
    </font>
    <font>
      <i/>
      <u/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3" fillId="0" borderId="0"/>
    <xf numFmtId="1" fontId="4" fillId="0" borderId="1"/>
  </cellStyleXfs>
  <cellXfs count="104">
    <xf numFmtId="0" fontId="0" fillId="0" borderId="0" xfId="0"/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2" fontId="0" fillId="2" borderId="1" xfId="0" applyNumberFormat="1" applyFill="1" applyBorder="1"/>
    <xf numFmtId="2" fontId="0" fillId="0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Border="1"/>
    <xf numFmtId="0" fontId="0" fillId="4" borderId="1" xfId="0" applyFill="1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1" fontId="0" fillId="0" borderId="5" xfId="0" applyNumberFormat="1" applyBorder="1"/>
    <xf numFmtId="0" fontId="0" fillId="4" borderId="5" xfId="0" applyFill="1" applyBorder="1"/>
    <xf numFmtId="1" fontId="0" fillId="0" borderId="1" xfId="0" applyNumberFormat="1" applyFill="1" applyBorder="1"/>
    <xf numFmtId="0" fontId="0" fillId="4" borderId="2" xfId="0" applyFill="1" applyBorder="1" applyAlignment="1"/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0" borderId="0" xfId="0" applyNumberFormat="1"/>
    <xf numFmtId="165" fontId="0" fillId="0" borderId="1" xfId="0" applyNumberFormat="1" applyBorder="1"/>
    <xf numFmtId="9" fontId="0" fillId="0" borderId="0" xfId="0" applyNumberFormat="1"/>
    <xf numFmtId="10" fontId="0" fillId="0" borderId="1" xfId="0" applyNumberFormat="1" applyBorder="1"/>
    <xf numFmtId="9" fontId="0" fillId="0" borderId="1" xfId="0" applyNumberFormat="1" applyBorder="1"/>
    <xf numFmtId="0" fontId="0" fillId="0" borderId="5" xfId="0" applyFill="1" applyBorder="1"/>
    <xf numFmtId="3" fontId="0" fillId="0" borderId="1" xfId="0" applyNumberFormat="1" applyBorder="1"/>
    <xf numFmtId="3" fontId="0" fillId="3" borderId="1" xfId="0" applyNumberFormat="1" applyFill="1" applyBorder="1" applyProtection="1">
      <protection locked="0"/>
    </xf>
    <xf numFmtId="3" fontId="4" fillId="0" borderId="1" xfId="3" applyNumberFormat="1"/>
    <xf numFmtId="3" fontId="0" fillId="4" borderId="5" xfId="0" applyNumberFormat="1" applyFill="1" applyBorder="1"/>
    <xf numFmtId="3" fontId="0" fillId="4" borderId="1" xfId="0" applyNumberFormat="1" applyFill="1" applyBorder="1"/>
    <xf numFmtId="2" fontId="0" fillId="3" borderId="1" xfId="0" applyNumberFormat="1" applyFill="1" applyBorder="1"/>
    <xf numFmtId="0" fontId="0" fillId="2" borderId="0" xfId="0" applyFill="1"/>
    <xf numFmtId="0" fontId="9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5" fillId="2" borderId="1" xfId="0" applyFont="1" applyFill="1" applyBorder="1" applyAlignment="1"/>
    <xf numFmtId="3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8" fillId="2" borderId="0" xfId="0" applyFont="1" applyFill="1"/>
    <xf numFmtId="0" fontId="0" fillId="2" borderId="0" xfId="0" applyFill="1" applyBorder="1"/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2" fillId="2" borderId="0" xfId="0" applyFont="1" applyFill="1"/>
    <xf numFmtId="0" fontId="5" fillId="2" borderId="0" xfId="0" applyFont="1" applyFill="1" applyBorder="1" applyAlignment="1">
      <alignment wrapText="1"/>
    </xf>
    <xf numFmtId="2" fontId="0" fillId="2" borderId="0" xfId="0" applyNumberFormat="1" applyFill="1" applyBorder="1" applyAlignment="1"/>
    <xf numFmtId="0" fontId="2" fillId="2" borderId="0" xfId="0" applyFont="1" applyFill="1" applyBorder="1"/>
    <xf numFmtId="0" fontId="5" fillId="2" borderId="0" xfId="0" applyFont="1" applyFill="1"/>
    <xf numFmtId="166" fontId="0" fillId="2" borderId="0" xfId="0" applyNumberFormat="1" applyFill="1"/>
    <xf numFmtId="0" fontId="6" fillId="2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0" fillId="2" borderId="0" xfId="0" applyFill="1" applyBorder="1" applyAlignment="1"/>
    <xf numFmtId="0" fontId="2" fillId="2" borderId="0" xfId="0" applyFont="1" applyFill="1" applyAlignment="1"/>
    <xf numFmtId="0" fontId="10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0" fillId="2" borderId="0" xfId="0" applyFill="1" applyBorder="1" applyAlignment="1">
      <alignment wrapText="1"/>
    </xf>
    <xf numFmtId="0" fontId="6" fillId="2" borderId="0" xfId="0" applyFont="1" applyFill="1" applyBorder="1" applyAlignment="1">
      <alignment horizontal="left"/>
    </xf>
    <xf numFmtId="3" fontId="0" fillId="2" borderId="0" xfId="0" applyNumberFormat="1" applyFill="1" applyBorder="1"/>
    <xf numFmtId="0" fontId="7" fillId="0" borderId="1" xfId="0" applyFont="1" applyFill="1" applyBorder="1"/>
    <xf numFmtId="0" fontId="2" fillId="2" borderId="3" xfId="0" applyFont="1" applyFill="1" applyBorder="1" applyAlignment="1"/>
    <xf numFmtId="0" fontId="5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 applyProtection="1">
      <alignment horizontal="right" indent="1"/>
      <protection hidden="1"/>
    </xf>
    <xf numFmtId="164" fontId="0" fillId="2" borderId="1" xfId="1" applyNumberFormat="1" applyFont="1" applyFill="1" applyBorder="1" applyAlignment="1" applyProtection="1">
      <alignment horizontal="right" indent="1"/>
      <protection hidden="1"/>
    </xf>
    <xf numFmtId="0" fontId="11" fillId="2" borderId="0" xfId="0" applyFont="1" applyFill="1" applyAlignment="1">
      <alignment horizontal="left"/>
    </xf>
    <xf numFmtId="3" fontId="5" fillId="2" borderId="1" xfId="0" applyNumberFormat="1" applyFont="1" applyFill="1" applyBorder="1" applyAlignment="1"/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10" fontId="5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/>
    <xf numFmtId="0" fontId="5" fillId="2" borderId="1" xfId="0" applyFont="1" applyFill="1" applyBorder="1"/>
    <xf numFmtId="3" fontId="0" fillId="2" borderId="1" xfId="0" applyNumberForma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1" xfId="0" applyFill="1" applyBorder="1" applyAlignment="1"/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4" xfId="0" applyFont="1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3" fontId="0" fillId="3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4">
    <cellStyle name="Обычный" xfId="0" builtinId="0"/>
    <cellStyle name="Обычный 2" xfId="2"/>
    <cellStyle name="Стиль 1" xfId="3"/>
    <cellStyle name="Финансов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Точка безубыточности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727275604265132"/>
          <c:y val="0.17246147796612163"/>
          <c:w val="0.83223707687254267"/>
          <c:h val="0.67002563620027755"/>
        </c:manualLayout>
      </c:layout>
      <c:barChart>
        <c:barDir val="col"/>
        <c:grouping val="clustered"/>
        <c:ser>
          <c:idx val="0"/>
          <c:order val="0"/>
          <c:tx>
            <c:v>Маркетинговый бюджет</c:v>
          </c:tx>
          <c:spPr>
            <a:solidFill>
              <a:srgbClr val="FFFF00"/>
            </a:solidFill>
            <a:ln>
              <a:solidFill>
                <a:srgbClr val="C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'Справочные данные'!$B$31:$N$31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'Справочные данные'!$B$32:$N$32</c:f>
              <c:numCache>
                <c:formatCode>#,##0</c:formatCode>
                <c:ptCount val="13"/>
                <c:pt idx="0">
                  <c:v>340000</c:v>
                </c:pt>
                <c:pt idx="1">
                  <c:v>340000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8ADB-45ED-84F9-7D3A464DAD3B}"/>
            </c:ext>
          </c:extLst>
        </c:ser>
        <c:ser>
          <c:idx val="6"/>
          <c:order val="1"/>
          <c:tx>
            <c:v>Прибыль</c:v>
          </c:tx>
          <c:spPr>
            <a:solidFill>
              <a:srgbClr val="00B050"/>
            </a:solidFill>
            <a:ln cmpd="sng">
              <a:solidFill>
                <a:srgbClr val="00B050">
                  <a:alpha val="97000"/>
                </a:srgb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cat>
            <c:numRef>
              <c:f>'Справочные данные'!$B$31:$N$31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'Справочные данные'!$B$38:$N$38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10858.662711864396</c:v>
                </c:pt>
                <c:pt idx="3">
                  <c:v>142606.76440677932</c:v>
                </c:pt>
                <c:pt idx="4">
                  <c:v>435763.61186440662</c:v>
                </c:pt>
                <c:pt idx="5">
                  <c:v>869911.71355932113</c:v>
                </c:pt>
                <c:pt idx="6">
                  <c:v>1122233.5779661003</c:v>
                </c:pt>
                <c:pt idx="7">
                  <c:v>1163068.5610169484</c:v>
                </c:pt>
                <c:pt idx="8">
                  <c:v>1163068.5610169484</c:v>
                </c:pt>
                <c:pt idx="9">
                  <c:v>1163068.5610169484</c:v>
                </c:pt>
                <c:pt idx="10">
                  <c:v>1163068.5610169484</c:v>
                </c:pt>
                <c:pt idx="11">
                  <c:v>1163068.5610169484</c:v>
                </c:pt>
                <c:pt idx="12">
                  <c:v>1163068.5610169484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7-8ADB-45ED-84F9-7D3A464DAD3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7C80"/>
                  </a:solidFill>
                  <a:ln cmpd="sng">
                    <a:solidFill>
                      <a:srgbClr val="00B050">
                        <a:alpha val="97000"/>
                      </a:srgbClr>
                    </a:solidFill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</c:extLst>
        </c:ser>
        <c:dLbls/>
        <c:gapWidth val="100"/>
        <c:overlap val="-24"/>
        <c:axId val="112557440"/>
        <c:axId val="1136405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6">
                          <a:tint val="65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tint val="65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tint val="65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'Справочные данные'!$B$31:$N$31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'Справочные данные'!$B$33:$N$33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2165470.5750000002</c:v>
                      </c:pt>
                      <c:pt idx="3">
                        <c:v>2298961.2749999999</c:v>
                      </c:pt>
                      <c:pt idx="4">
                        <c:v>2419354.2749999999</c:v>
                      </c:pt>
                      <c:pt idx="5">
                        <c:v>2507995.2749999999</c:v>
                      </c:pt>
                      <c:pt idx="6">
                        <c:v>2596636.2749999999</c:v>
                      </c:pt>
                      <c:pt idx="7">
                        <c:v>2764657.2749999999</c:v>
                      </c:pt>
                      <c:pt idx="8">
                        <c:v>2941939.2749999999</c:v>
                      </c:pt>
                      <c:pt idx="9">
                        <c:v>3119221.2749999999</c:v>
                      </c:pt>
                      <c:pt idx="10">
                        <c:v>3315025.2750000004</c:v>
                      </c:pt>
                      <c:pt idx="11">
                        <c:v>3510829.2750000004</c:v>
                      </c:pt>
                      <c:pt idx="12">
                        <c:v>3907729.2750000004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ADB-45ED-84F9-7D3A464DAD3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6">
                          <a:tint val="83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tint val="83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tint val="83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данные'!$B$31:$N$31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данные'!$B$34:$N$34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36531</c:v>
                      </c:pt>
                      <c:pt idx="3">
                        <c:v>57240</c:v>
                      </c:pt>
                      <c:pt idx="4">
                        <c:v>79650</c:v>
                      </c:pt>
                      <c:pt idx="5">
                        <c:v>98820</c:v>
                      </c:pt>
                      <c:pt idx="6">
                        <c:v>117990</c:v>
                      </c:pt>
                      <c:pt idx="7">
                        <c:v>145260</c:v>
                      </c:pt>
                      <c:pt idx="8">
                        <c:v>183600</c:v>
                      </c:pt>
                      <c:pt idx="9">
                        <c:v>221940</c:v>
                      </c:pt>
                      <c:pt idx="10">
                        <c:v>282420</c:v>
                      </c:pt>
                      <c:pt idx="11">
                        <c:v>342900</c:v>
                      </c:pt>
                      <c:pt idx="12">
                        <c:v>383400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ADB-45ED-84F9-7D3A464DAD3B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данные'!$B$31:$N$31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данные'!$B$35:$N$35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-803.94467796612298</c:v>
                      </c:pt>
                      <c:pt idx="3">
                        <c:v>86434.999322033749</c:v>
                      </c:pt>
                      <c:pt idx="4">
                        <c:v>180839.59322033901</c:v>
                      </c:pt>
                      <c:pt idx="5">
                        <c:v>261595.33016949109</c:v>
                      </c:pt>
                      <c:pt idx="6">
                        <c:v>342351.06711864378</c:v>
                      </c:pt>
                      <c:pt idx="7">
                        <c:v>457228.94644067774</c:v>
                      </c:pt>
                      <c:pt idx="8">
                        <c:v>618740.42033898272</c:v>
                      </c:pt>
                      <c:pt idx="9">
                        <c:v>780251.89423728746</c:v>
                      </c:pt>
                      <c:pt idx="10">
                        <c:v>1035030.5572881347</c:v>
                      </c:pt>
                      <c:pt idx="11">
                        <c:v>1289809.220338983</c:v>
                      </c:pt>
                      <c:pt idx="12">
                        <c:v>1460419.9322033885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ADB-45ED-84F9-7D3A464DAD3B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6">
                          <a:shade val="82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hade val="82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shade val="82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данные'!$B$31:$N$31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данные'!$B$36:$N$36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1008840.0959999999</c:v>
                      </c:pt>
                      <c:pt idx="3">
                        <c:v>1580739.8399999989</c:v>
                      </c:pt>
                      <c:pt idx="4">
                        <c:v>2199614.4000000004</c:v>
                      </c:pt>
                      <c:pt idx="5">
                        <c:v>2729013.1199999973</c:v>
                      </c:pt>
                      <c:pt idx="6">
                        <c:v>3258411.839999998</c:v>
                      </c:pt>
                      <c:pt idx="7">
                        <c:v>4011500.1599999983</c:v>
                      </c:pt>
                      <c:pt idx="8">
                        <c:v>5070297.5999999978</c:v>
                      </c:pt>
                      <c:pt idx="9">
                        <c:v>6129095.0399999954</c:v>
                      </c:pt>
                      <c:pt idx="10">
                        <c:v>7799310.7199999951</c:v>
                      </c:pt>
                      <c:pt idx="11">
                        <c:v>9469526.3999999985</c:v>
                      </c:pt>
                      <c:pt idx="12">
                        <c:v>10587974.399999991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ADB-45ED-84F9-7D3A464DAD3B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hade val="65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hade val="65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shade val="65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данные'!$B$31:$N$31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данные'!$B$37:$N$37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-1192357.5343220341</c:v>
                      </c:pt>
                      <c:pt idx="3">
                        <c:v>-861896.43432203471</c:v>
                      </c:pt>
                      <c:pt idx="4">
                        <c:v>-480229.46822033857</c:v>
                      </c:pt>
                      <c:pt idx="5">
                        <c:v>-139397.48516949368</c:v>
                      </c:pt>
                      <c:pt idx="6">
                        <c:v>201434.4978813543</c:v>
                      </c:pt>
                      <c:pt idx="7">
                        <c:v>644353.93855932064</c:v>
                      </c:pt>
                      <c:pt idx="8">
                        <c:v>1326017.9046610151</c:v>
                      </c:pt>
                      <c:pt idx="9">
                        <c:v>2007681.8707627081</c:v>
                      </c:pt>
                      <c:pt idx="10">
                        <c:v>3166834.8877118602</c:v>
                      </c:pt>
                      <c:pt idx="11">
                        <c:v>4325987.9046610147</c:v>
                      </c:pt>
                      <c:pt idx="12">
                        <c:v>4836425.1927966019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ADB-45ED-84F9-7D3A464DAD3B}"/>
                  </c:ext>
                </c:extLst>
              </c15:ser>
            </c15:filteredBarSeries>
          </c:ext>
        </c:extLst>
      </c:barChart>
      <c:catAx>
        <c:axId val="1125574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640576"/>
        <c:crosses val="autoZero"/>
        <c:auto val="1"/>
        <c:lblAlgn val="ctr"/>
        <c:lblOffset val="100"/>
      </c:catAx>
      <c:valAx>
        <c:axId val="113640576"/>
        <c:scaling>
          <c:orientation val="minMax"/>
          <c:max val="2250000"/>
          <c:min val="-11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557440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</a:t>
            </a:r>
            <a:r>
              <a:rPr lang="ru-RU" baseline="0"/>
              <a:t> окупаемости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727275604265132"/>
          <c:y val="0.17246147796612163"/>
          <c:w val="0.83223707687254267"/>
          <c:h val="0.67002563620027755"/>
        </c:manualLayout>
      </c:layout>
      <c:barChart>
        <c:barDir val="col"/>
        <c:grouping val="clustered"/>
        <c:ser>
          <c:idx val="7"/>
          <c:order val="0"/>
          <c:tx>
            <c:v>Прибыль нарастающим итогом</c:v>
          </c:tx>
          <c:spPr>
            <a:solidFill>
              <a:srgbClr val="00B050">
                <a:alpha val="98824"/>
              </a:srgbClr>
            </a:solidFill>
            <a:ln>
              <a:solidFill>
                <a:srgbClr val="00B050">
                  <a:alpha val="98000"/>
                </a:srgb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val>
            <c:numRef>
              <c:f>'Справочные данные'!$B$40:$AK$40</c:f>
              <c:numCache>
                <c:formatCode>#,##0</c:formatCode>
                <c:ptCount val="36"/>
                <c:pt idx="0">
                  <c:v>-16100288</c:v>
                </c:pt>
                <c:pt idx="1">
                  <c:v>-16100288</c:v>
                </c:pt>
                <c:pt idx="2">
                  <c:v>-16089429.337288136</c:v>
                </c:pt>
                <c:pt idx="3">
                  <c:v>-15946822.572881356</c:v>
                </c:pt>
                <c:pt idx="4">
                  <c:v>-15511058.961016949</c:v>
                </c:pt>
                <c:pt idx="5">
                  <c:v>-14641147.247457627</c:v>
                </c:pt>
                <c:pt idx="6">
                  <c:v>-13518913.669491528</c:v>
                </c:pt>
                <c:pt idx="7">
                  <c:v>-12355845.108474579</c:v>
                </c:pt>
                <c:pt idx="8">
                  <c:v>-11192776.54745763</c:v>
                </c:pt>
                <c:pt idx="9">
                  <c:v>-10029707.986440681</c:v>
                </c:pt>
                <c:pt idx="10">
                  <c:v>-8866639.425423732</c:v>
                </c:pt>
                <c:pt idx="11">
                  <c:v>-7703570.8644067831</c:v>
                </c:pt>
                <c:pt idx="12">
                  <c:v>-6540502.3033898342</c:v>
                </c:pt>
                <c:pt idx="13">
                  <c:v>-5377433.7423728853</c:v>
                </c:pt>
                <c:pt idx="14">
                  <c:v>-4214365.1813559365</c:v>
                </c:pt>
                <c:pt idx="15">
                  <c:v>-3051296.620338988</c:v>
                </c:pt>
                <c:pt idx="16">
                  <c:v>-1888228.0593220396</c:v>
                </c:pt>
                <c:pt idx="17">
                  <c:v>-725159.49830509117</c:v>
                </c:pt>
                <c:pt idx="18">
                  <c:v>437909.06271185726</c:v>
                </c:pt>
                <c:pt idx="19">
                  <c:v>1600977.6237288057</c:v>
                </c:pt>
                <c:pt idx="20">
                  <c:v>2764046.1847457541</c:v>
                </c:pt>
                <c:pt idx="21">
                  <c:v>3927114.7457627025</c:v>
                </c:pt>
                <c:pt idx="22">
                  <c:v>5090183.306779651</c:v>
                </c:pt>
                <c:pt idx="23">
                  <c:v>6253251.8677965999</c:v>
                </c:pt>
                <c:pt idx="24">
                  <c:v>7416320.4288135488</c:v>
                </c:pt>
                <c:pt idx="25">
                  <c:v>8579388.9898304977</c:v>
                </c:pt>
                <c:pt idx="26">
                  <c:v>9742457.5508474465</c:v>
                </c:pt>
                <c:pt idx="27">
                  <c:v>10905526.111864395</c:v>
                </c:pt>
                <c:pt idx="28">
                  <c:v>12068594.672881344</c:v>
                </c:pt>
                <c:pt idx="29">
                  <c:v>13231663.233898293</c:v>
                </c:pt>
                <c:pt idx="30">
                  <c:v>14394731.794915242</c:v>
                </c:pt>
                <c:pt idx="31">
                  <c:v>15557800.355932191</c:v>
                </c:pt>
                <c:pt idx="32">
                  <c:v>16720868.91694914</c:v>
                </c:pt>
                <c:pt idx="33">
                  <c:v>17883937.477966089</c:v>
                </c:pt>
                <c:pt idx="34">
                  <c:v>19047006.038983036</c:v>
                </c:pt>
                <c:pt idx="35">
                  <c:v>20210074.599999983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86A-4397-8CC0-BD7945C32F7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7C80"/>
                  </a:solidFill>
                  <a:ln>
                    <a:solidFill>
                      <a:srgbClr val="00B050">
                        <a:alpha val="98000"/>
                      </a:srgbClr>
                    </a:solidFill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</c:extLst>
        </c:ser>
        <c:dLbls/>
        <c:gapWidth val="56"/>
        <c:overlap val="-15"/>
        <c:axId val="116428800"/>
        <c:axId val="1164303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Первоначальные затраты</c:v>
                </c:tx>
                <c:spPr>
                  <a:gradFill rotWithShape="1">
                    <a:gsLst>
                      <a:gs pos="0">
                        <a:schemeClr val="accent6">
                          <a:tint val="46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tint val="46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tint val="46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'Справочные данные'!$A$31:$AK$31</c15:sqref>
                        </c15:formulaRef>
                      </c:ext>
                    </c:extLst>
                    <c:strCache>
                      <c:ptCount val="37"/>
                      <c:pt idx="0">
                        <c:v>Месяц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'Справочные данные'!$B$39:$AK$39</c15:sqref>
                        </c15:formulaRef>
                      </c:ext>
                    </c:extLst>
                    <c:numCache>
                      <c:formatCode>#,##0</c:formatCode>
                      <c:ptCount val="36"/>
                      <c:pt idx="0">
                        <c:v>43752874</c:v>
                      </c:pt>
                      <c:pt idx="1">
                        <c:v>43752874</c:v>
                      </c:pt>
                      <c:pt idx="2">
                        <c:v>43752874</c:v>
                      </c:pt>
                      <c:pt idx="3">
                        <c:v>43752874</c:v>
                      </c:pt>
                      <c:pt idx="4">
                        <c:v>43752874</c:v>
                      </c:pt>
                      <c:pt idx="5">
                        <c:v>43752874</c:v>
                      </c:pt>
                      <c:pt idx="6">
                        <c:v>43752874</c:v>
                      </c:pt>
                      <c:pt idx="7">
                        <c:v>43752874</c:v>
                      </c:pt>
                      <c:pt idx="8">
                        <c:v>43752874</c:v>
                      </c:pt>
                      <c:pt idx="9">
                        <c:v>43752874</c:v>
                      </c:pt>
                      <c:pt idx="10">
                        <c:v>43752874</c:v>
                      </c:pt>
                      <c:pt idx="11">
                        <c:v>43752874</c:v>
                      </c:pt>
                      <c:pt idx="12">
                        <c:v>43752874</c:v>
                      </c:pt>
                      <c:pt idx="13">
                        <c:v>43752874</c:v>
                      </c:pt>
                      <c:pt idx="14">
                        <c:v>43752874</c:v>
                      </c:pt>
                      <c:pt idx="15">
                        <c:v>43752874</c:v>
                      </c:pt>
                      <c:pt idx="16">
                        <c:v>43752874</c:v>
                      </c:pt>
                      <c:pt idx="17">
                        <c:v>43752874</c:v>
                      </c:pt>
                      <c:pt idx="18">
                        <c:v>43752874</c:v>
                      </c:pt>
                      <c:pt idx="19">
                        <c:v>43752874</c:v>
                      </c:pt>
                      <c:pt idx="20">
                        <c:v>43752874</c:v>
                      </c:pt>
                      <c:pt idx="21">
                        <c:v>43752874</c:v>
                      </c:pt>
                      <c:pt idx="22">
                        <c:v>43752874</c:v>
                      </c:pt>
                      <c:pt idx="23">
                        <c:v>43752874</c:v>
                      </c:pt>
                      <c:pt idx="24">
                        <c:v>43752874</c:v>
                      </c:pt>
                      <c:pt idx="25">
                        <c:v>43752874</c:v>
                      </c:pt>
                      <c:pt idx="26">
                        <c:v>43752874</c:v>
                      </c:pt>
                      <c:pt idx="27">
                        <c:v>43752874</c:v>
                      </c:pt>
                      <c:pt idx="28">
                        <c:v>43752874</c:v>
                      </c:pt>
                      <c:pt idx="29">
                        <c:v>43752874</c:v>
                      </c:pt>
                      <c:pt idx="30">
                        <c:v>43752874</c:v>
                      </c:pt>
                      <c:pt idx="31">
                        <c:v>43752874</c:v>
                      </c:pt>
                      <c:pt idx="32">
                        <c:v>43752874</c:v>
                      </c:pt>
                      <c:pt idx="33">
                        <c:v>43752874</c:v>
                      </c:pt>
                      <c:pt idx="34">
                        <c:v>43752874</c:v>
                      </c:pt>
                      <c:pt idx="35">
                        <c:v>43752874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86A-4397-8CC0-BD7945C32F7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6">
                          <a:tint val="62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tint val="62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tint val="62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данные'!$A$31:$AK$31</c15:sqref>
                        </c15:formulaRef>
                      </c:ext>
                    </c:extLst>
                    <c:strCache>
                      <c:ptCount val="37"/>
                      <c:pt idx="0">
                        <c:v>Месяц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данные'!$B$33:$N$33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2165470.5750000002</c:v>
                      </c:pt>
                      <c:pt idx="3">
                        <c:v>2298961.2749999999</c:v>
                      </c:pt>
                      <c:pt idx="4">
                        <c:v>2419354.2749999999</c:v>
                      </c:pt>
                      <c:pt idx="5">
                        <c:v>2507995.2749999999</c:v>
                      </c:pt>
                      <c:pt idx="6">
                        <c:v>2596636.2749999999</c:v>
                      </c:pt>
                      <c:pt idx="7">
                        <c:v>2764657.2749999999</c:v>
                      </c:pt>
                      <c:pt idx="8">
                        <c:v>2941939.2749999999</c:v>
                      </c:pt>
                      <c:pt idx="9">
                        <c:v>3119221.2749999999</c:v>
                      </c:pt>
                      <c:pt idx="10">
                        <c:v>3315025.2750000004</c:v>
                      </c:pt>
                      <c:pt idx="11">
                        <c:v>3510829.2750000004</c:v>
                      </c:pt>
                      <c:pt idx="12">
                        <c:v>3907729.2750000004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86A-4397-8CC0-BD7945C32F7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6">
                          <a:tint val="83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tint val="83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tint val="83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данные'!$A$31:$AK$31</c15:sqref>
                        </c15:formulaRef>
                      </c:ext>
                    </c:extLst>
                    <c:strCache>
                      <c:ptCount val="37"/>
                      <c:pt idx="0">
                        <c:v>Месяц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данные'!$B$34:$N$34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36531</c:v>
                      </c:pt>
                      <c:pt idx="3">
                        <c:v>57240</c:v>
                      </c:pt>
                      <c:pt idx="4">
                        <c:v>79650</c:v>
                      </c:pt>
                      <c:pt idx="5">
                        <c:v>98820</c:v>
                      </c:pt>
                      <c:pt idx="6">
                        <c:v>117990</c:v>
                      </c:pt>
                      <c:pt idx="7">
                        <c:v>145260</c:v>
                      </c:pt>
                      <c:pt idx="8">
                        <c:v>183600</c:v>
                      </c:pt>
                      <c:pt idx="9">
                        <c:v>221940</c:v>
                      </c:pt>
                      <c:pt idx="10">
                        <c:v>282420</c:v>
                      </c:pt>
                      <c:pt idx="11">
                        <c:v>342900</c:v>
                      </c:pt>
                      <c:pt idx="12">
                        <c:v>383400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6A-4397-8CC0-BD7945C32F7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данные'!$A$31:$AK$31</c15:sqref>
                        </c15:formulaRef>
                      </c:ext>
                    </c:extLst>
                    <c:strCache>
                      <c:ptCount val="37"/>
                      <c:pt idx="0">
                        <c:v>Месяц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данные'!$B$35:$N$35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-803.94467796612298</c:v>
                      </c:pt>
                      <c:pt idx="3">
                        <c:v>86434.999322033749</c:v>
                      </c:pt>
                      <c:pt idx="4">
                        <c:v>180839.59322033901</c:v>
                      </c:pt>
                      <c:pt idx="5">
                        <c:v>261595.33016949109</c:v>
                      </c:pt>
                      <c:pt idx="6">
                        <c:v>342351.06711864378</c:v>
                      </c:pt>
                      <c:pt idx="7">
                        <c:v>457228.94644067774</c:v>
                      </c:pt>
                      <c:pt idx="8">
                        <c:v>618740.42033898272</c:v>
                      </c:pt>
                      <c:pt idx="9">
                        <c:v>780251.89423728746</c:v>
                      </c:pt>
                      <c:pt idx="10">
                        <c:v>1035030.5572881347</c:v>
                      </c:pt>
                      <c:pt idx="11">
                        <c:v>1289809.220338983</c:v>
                      </c:pt>
                      <c:pt idx="12">
                        <c:v>1460419.9322033885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6A-4397-8CC0-BD7945C32F78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6">
                          <a:shade val="82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hade val="82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shade val="82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данные'!$A$31:$AK$31</c15:sqref>
                        </c15:formulaRef>
                      </c:ext>
                    </c:extLst>
                    <c:strCache>
                      <c:ptCount val="37"/>
                      <c:pt idx="0">
                        <c:v>Месяц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данные'!$B$36:$N$36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1008840.0959999999</c:v>
                      </c:pt>
                      <c:pt idx="3">
                        <c:v>1580739.8399999989</c:v>
                      </c:pt>
                      <c:pt idx="4">
                        <c:v>2199614.4000000004</c:v>
                      </c:pt>
                      <c:pt idx="5">
                        <c:v>2729013.1199999973</c:v>
                      </c:pt>
                      <c:pt idx="6">
                        <c:v>3258411.839999998</c:v>
                      </c:pt>
                      <c:pt idx="7">
                        <c:v>4011500.1599999983</c:v>
                      </c:pt>
                      <c:pt idx="8">
                        <c:v>5070297.5999999978</c:v>
                      </c:pt>
                      <c:pt idx="9">
                        <c:v>6129095.0399999954</c:v>
                      </c:pt>
                      <c:pt idx="10">
                        <c:v>7799310.7199999951</c:v>
                      </c:pt>
                      <c:pt idx="11">
                        <c:v>9469526.3999999985</c:v>
                      </c:pt>
                      <c:pt idx="12">
                        <c:v>10587974.399999991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6A-4397-8CC0-BD7945C32F78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hade val="65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hade val="65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shade val="65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данные'!$A$31:$AK$31</c15:sqref>
                        </c15:formulaRef>
                      </c:ext>
                    </c:extLst>
                    <c:strCache>
                      <c:ptCount val="37"/>
                      <c:pt idx="0">
                        <c:v>Месяц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данные'!$B$37:$N$37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-1192357.5343220341</c:v>
                      </c:pt>
                      <c:pt idx="3">
                        <c:v>-861896.43432203471</c:v>
                      </c:pt>
                      <c:pt idx="4">
                        <c:v>-480229.46822033857</c:v>
                      </c:pt>
                      <c:pt idx="5">
                        <c:v>-139397.48516949368</c:v>
                      </c:pt>
                      <c:pt idx="6">
                        <c:v>201434.4978813543</c:v>
                      </c:pt>
                      <c:pt idx="7">
                        <c:v>644353.93855932064</c:v>
                      </c:pt>
                      <c:pt idx="8">
                        <c:v>1326017.9046610151</c:v>
                      </c:pt>
                      <c:pt idx="9">
                        <c:v>2007681.8707627081</c:v>
                      </c:pt>
                      <c:pt idx="10">
                        <c:v>3166834.8877118602</c:v>
                      </c:pt>
                      <c:pt idx="11">
                        <c:v>4325987.9046610147</c:v>
                      </c:pt>
                      <c:pt idx="12">
                        <c:v>4836425.1927966019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86A-4397-8CC0-BD7945C32F7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Прибыль</c:v>
                </c:tx>
                <c:spPr>
                  <a:solidFill>
                    <a:srgbClr val="00B050"/>
                  </a:solidFill>
                  <a:ln cmpd="sng">
                    <a:solidFill>
                      <a:srgbClr val="00B050">
                        <a:alpha val="97000"/>
                      </a:srgbClr>
                    </a:solidFill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1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данные'!$A$31:$AK$31</c15:sqref>
                        </c15:formulaRef>
                      </c:ext>
                    </c:extLst>
                    <c:strCache>
                      <c:ptCount val="37"/>
                      <c:pt idx="0">
                        <c:v>Месяц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'Справочные данные'!$B$38:$N$38</c15:sqref>
                        </c15:formulaRef>
                      </c:ext>
                    </c:extLst>
                    <c:numCache>
                      <c:formatCode>#,##0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-1192357.5343220341</c:v>
                      </c:pt>
                      <c:pt idx="3">
                        <c:v>-861896.43432203471</c:v>
                      </c:pt>
                      <c:pt idx="4">
                        <c:v>-480229.46822033857</c:v>
                      </c:pt>
                      <c:pt idx="5">
                        <c:v>-139397.48516949368</c:v>
                      </c:pt>
                      <c:pt idx="6">
                        <c:v>161147.59830508346</c:v>
                      </c:pt>
                      <c:pt idx="7">
                        <c:v>515483.15084745653</c:v>
                      </c:pt>
                      <c:pt idx="8">
                        <c:v>1060814.3237288122</c:v>
                      </c:pt>
                      <c:pt idx="9">
                        <c:v>1606145.4966101665</c:v>
                      </c:pt>
                      <c:pt idx="10">
                        <c:v>2533467.9101694883</c:v>
                      </c:pt>
                      <c:pt idx="11">
                        <c:v>3460790.3237288119</c:v>
                      </c:pt>
                      <c:pt idx="12">
                        <c:v>3869140.1542372815</c:v>
                      </c:pt>
                    </c:numCache>
                  </c:numRef>
                </c:val>
                <c:extLst xmlns:c15="http://schemas.microsoft.com/office/drawing/2012/chart"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0000"/>
                        </a:solidFill>
                        <a:ln cmpd="sng">
                          <a:solidFill>
                            <a:srgbClr val="00B050">
                              <a:alpha val="97000"/>
                            </a:srgbClr>
                          </a:solidFill>
                        </a:ln>
                        <a:effectLst>
                          <a:outerShdw blurRad="57150" dist="19050" dir="5400000" algn="ctr" rotWithShape="0">
                            <a:srgbClr val="000000">
                              <a:alpha val="63000"/>
                            </a:srgbClr>
                          </a:outerShdw>
                        </a:effectLst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1-E86A-4397-8CC0-BD7945C32F78}"/>
                  </c:ext>
                </c:extLst>
              </c15:ser>
            </c15:filteredBarSeries>
          </c:ext>
        </c:extLst>
      </c:barChart>
      <c:catAx>
        <c:axId val="1164288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430336"/>
        <c:crosses val="autoZero"/>
        <c:auto val="1"/>
        <c:lblAlgn val="ctr"/>
        <c:lblOffset val="100"/>
      </c:catAx>
      <c:valAx>
        <c:axId val="11643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428800"/>
        <c:crosses val="autoZero"/>
        <c:crossBetween val="between"/>
        <c:majorUnit val="3000000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272724</xdr:colOff>
      <xdr:row>27</xdr:row>
      <xdr:rowOff>68035</xdr:rowOff>
    </xdr:from>
    <xdr:to>
      <xdr:col>7</xdr:col>
      <xdr:colOff>423233</xdr:colOff>
      <xdr:row>33</xdr:row>
      <xdr:rowOff>33180</xdr:rowOff>
    </xdr:to>
    <xdr:pic>
      <xdr:nvPicPr>
        <xdr:cNvPr id="5" name="Рисунок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contrast="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t="15426" b="18734"/>
        <a:stretch/>
      </xdr:blipFill>
      <xdr:spPr bwMode="auto">
        <a:xfrm>
          <a:off x="4967188" y="5374821"/>
          <a:ext cx="2409295" cy="1108145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effectLst>
          <a:glow rad="127000">
            <a:schemeClr val="accent1">
              <a:alpha val="0"/>
            </a:schemeClr>
          </a:glow>
        </a:effectLst>
      </xdr:spPr>
    </xdr:pic>
    <xdr:clientData/>
  </xdr:twoCellAnchor>
  <xdr:twoCellAnchor>
    <xdr:from>
      <xdr:col>0</xdr:col>
      <xdr:colOff>137091</xdr:colOff>
      <xdr:row>34</xdr:row>
      <xdr:rowOff>103910</xdr:rowOff>
    </xdr:from>
    <xdr:to>
      <xdr:col>11</xdr:col>
      <xdr:colOff>519546</xdr:colOff>
      <xdr:row>51</xdr:row>
      <xdr:rowOff>119990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116969</xdr:colOff>
      <xdr:row>54</xdr:row>
      <xdr:rowOff>134834</xdr:rowOff>
    </xdr:from>
    <xdr:to>
      <xdr:col>11</xdr:col>
      <xdr:colOff>536863</xdr:colOff>
      <xdr:row>70</xdr:row>
      <xdr:rowOff>114823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67235</xdr:colOff>
      <xdr:row>0</xdr:row>
      <xdr:rowOff>0</xdr:rowOff>
    </xdr:from>
    <xdr:to>
      <xdr:col>1</xdr:col>
      <xdr:colOff>898071</xdr:colOff>
      <xdr:row>4</xdr:row>
      <xdr:rowOff>147589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" y="0"/>
          <a:ext cx="2790265" cy="107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3"/>
  <sheetViews>
    <sheetView tabSelected="1" zoomScale="80" zoomScaleNormal="80" workbookViewId="0">
      <selection activeCell="J13" sqref="J13"/>
    </sheetView>
  </sheetViews>
  <sheetFormatPr defaultColWidth="8.7109375" defaultRowHeight="15"/>
  <cols>
    <col min="1" max="1" width="29.28515625" style="38" bestFit="1" customWidth="1"/>
    <col min="2" max="2" width="14.42578125" style="38" customWidth="1"/>
    <col min="3" max="3" width="19" style="36" customWidth="1"/>
    <col min="4" max="4" width="15.28515625" style="36" customWidth="1"/>
    <col min="5" max="5" width="11.85546875" style="36" customWidth="1"/>
    <col min="6" max="6" width="12.7109375" style="36" customWidth="1"/>
    <col min="7" max="7" width="9.42578125" style="36" customWidth="1"/>
    <col min="8" max="8" width="12.140625" style="36" customWidth="1"/>
    <col min="9" max="9" width="4.28515625" style="36" customWidth="1"/>
    <col min="10" max="16384" width="8.7109375" style="36"/>
  </cols>
  <sheetData>
    <row r="2" spans="1:14" ht="21">
      <c r="C2" s="37" t="s">
        <v>3</v>
      </c>
    </row>
    <row r="3" spans="1:14">
      <c r="C3" s="38" t="s">
        <v>92</v>
      </c>
    </row>
    <row r="4" spans="1:14" ht="21">
      <c r="D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" customHeight="1">
      <c r="C5" s="38"/>
      <c r="D5" s="38"/>
      <c r="E5" s="79" t="s">
        <v>98</v>
      </c>
      <c r="F5" s="79"/>
      <c r="G5" s="79"/>
      <c r="H5" s="79"/>
      <c r="I5" s="38"/>
      <c r="J5" s="38"/>
      <c r="K5" s="38"/>
      <c r="L5" s="38"/>
      <c r="M5" s="38"/>
      <c r="N5" s="38"/>
    </row>
    <row r="6" spans="1:14">
      <c r="A6" s="86" t="s">
        <v>0</v>
      </c>
      <c r="B6" s="87"/>
      <c r="C6" s="67">
        <f>C7+C8</f>
        <v>16100288</v>
      </c>
      <c r="E6" s="79"/>
      <c r="F6" s="79"/>
      <c r="G6" s="79"/>
      <c r="H6" s="79"/>
    </row>
    <row r="7" spans="1:14">
      <c r="A7" s="88" t="s">
        <v>1</v>
      </c>
      <c r="B7" s="89"/>
      <c r="C7" s="68">
        <f>IF(H7&lt;600000,2000000,IF(H7&lt;1000000,3000000,4000000))</f>
        <v>2000000</v>
      </c>
      <c r="E7" s="78" t="s">
        <v>46</v>
      </c>
      <c r="F7" s="78"/>
      <c r="G7" s="78"/>
      <c r="H7" s="31">
        <v>500000</v>
      </c>
    </row>
    <row r="8" spans="1:14">
      <c r="A8" s="88" t="s">
        <v>2</v>
      </c>
      <c r="B8" s="89"/>
      <c r="C8" s="68">
        <f>C23</f>
        <v>14100288</v>
      </c>
      <c r="E8" s="78" t="s">
        <v>47</v>
      </c>
      <c r="F8" s="78"/>
      <c r="G8" s="78"/>
      <c r="H8" s="31">
        <v>1500000</v>
      </c>
    </row>
    <row r="9" spans="1:14" ht="15" customHeight="1">
      <c r="A9" s="39"/>
      <c r="B9" s="39"/>
    </row>
    <row r="10" spans="1:14">
      <c r="A10" s="66" t="s">
        <v>16</v>
      </c>
      <c r="B10" s="56"/>
      <c r="C10" s="54"/>
      <c r="E10" s="80" t="s">
        <v>27</v>
      </c>
      <c r="F10" s="80"/>
      <c r="G10" s="80"/>
      <c r="H10" s="35">
        <v>34.520000000000003</v>
      </c>
    </row>
    <row r="11" spans="1:14">
      <c r="A11" s="81" t="s">
        <v>99</v>
      </c>
      <c r="B11" s="82"/>
      <c r="C11" s="41">
        <f>H22*40000</f>
        <v>160000</v>
      </c>
      <c r="E11" s="80" t="s">
        <v>28</v>
      </c>
      <c r="F11" s="80"/>
      <c r="G11" s="80"/>
      <c r="H11" s="7">
        <f>H10*1.24</f>
        <v>42.8048</v>
      </c>
    </row>
    <row r="12" spans="1:14">
      <c r="A12" s="81" t="s">
        <v>9</v>
      </c>
      <c r="B12" s="82"/>
      <c r="C12" s="41">
        <v>30000</v>
      </c>
    </row>
    <row r="13" spans="1:14" ht="15" customHeight="1">
      <c r="A13" s="81" t="s">
        <v>10</v>
      </c>
      <c r="B13" s="82"/>
      <c r="C13" s="41">
        <v>140000</v>
      </c>
      <c r="E13" s="78" t="s">
        <v>44</v>
      </c>
      <c r="F13" s="78"/>
      <c r="G13" s="78"/>
      <c r="H13" s="78"/>
    </row>
    <row r="14" spans="1:14">
      <c r="A14" s="81" t="s">
        <v>93</v>
      </c>
      <c r="B14" s="82"/>
      <c r="C14" s="41">
        <v>250000</v>
      </c>
      <c r="E14" s="80" t="s">
        <v>4</v>
      </c>
      <c r="F14" s="80"/>
      <c r="G14" s="80"/>
      <c r="H14" s="42">
        <v>4</v>
      </c>
    </row>
    <row r="15" spans="1:14" ht="15" customHeight="1">
      <c r="A15" s="81" t="s">
        <v>11</v>
      </c>
      <c r="B15" s="82"/>
      <c r="C15" s="41">
        <v>100000</v>
      </c>
      <c r="E15" s="91" t="s">
        <v>20</v>
      </c>
      <c r="F15" s="91"/>
      <c r="G15" s="91"/>
      <c r="H15" s="77">
        <v>300000</v>
      </c>
    </row>
    <row r="16" spans="1:14">
      <c r="A16" s="81" t="s">
        <v>100</v>
      </c>
      <c r="B16" s="82"/>
      <c r="C16" s="41">
        <f>4300000*H27</f>
        <v>4300000</v>
      </c>
      <c r="E16" s="91"/>
      <c r="F16" s="91"/>
      <c r="G16" s="91"/>
      <c r="H16" s="77"/>
    </row>
    <row r="17" spans="1:11">
      <c r="A17" s="81" t="s">
        <v>25</v>
      </c>
      <c r="B17" s="82"/>
      <c r="C17" s="41">
        <f>H25*1100000</f>
        <v>3300000</v>
      </c>
      <c r="E17" s="85" t="s">
        <v>21</v>
      </c>
      <c r="F17" s="85"/>
      <c r="G17" s="85"/>
      <c r="H17" s="42">
        <f>ROUNDUP(H7/100000,0)</f>
        <v>5</v>
      </c>
    </row>
    <row r="18" spans="1:11">
      <c r="A18" s="81" t="s">
        <v>26</v>
      </c>
      <c r="B18" s="82"/>
      <c r="C18" s="41">
        <f>H26*2500000</f>
        <v>2500000</v>
      </c>
      <c r="E18" s="85" t="s">
        <v>24</v>
      </c>
      <c r="F18" s="85"/>
      <c r="G18" s="85"/>
      <c r="H18" s="43">
        <f>ROUNDUP(H19/2,0)</f>
        <v>1</v>
      </c>
      <c r="K18" s="44" t="str">
        <f>IF('Справочные данные'!J10&lt;0,"КОЛ-ВО БТЗП НЕДОСТАТОЧНО ДЛЯ ОБСЛУЖИВАНИЯ БУСТЕРОВ","")</f>
        <v/>
      </c>
    </row>
    <row r="19" spans="1:11">
      <c r="A19" s="81" t="s">
        <v>13</v>
      </c>
      <c r="B19" s="82"/>
      <c r="C19" s="41">
        <v>100000</v>
      </c>
      <c r="E19" s="85" t="s">
        <v>23</v>
      </c>
      <c r="F19" s="85"/>
      <c r="G19" s="85"/>
      <c r="H19" s="43">
        <f>ROUNDUP(H8/1000000,0)</f>
        <v>2</v>
      </c>
    </row>
    <row r="20" spans="1:11">
      <c r="A20" s="81" t="s">
        <v>14</v>
      </c>
      <c r="B20" s="82"/>
      <c r="C20" s="41">
        <f>4000*((H25*3+H26*2)+2)</f>
        <v>52000</v>
      </c>
    </row>
    <row r="21" spans="1:11">
      <c r="A21" s="81" t="s">
        <v>15</v>
      </c>
      <c r="B21" s="82"/>
      <c r="C21" s="41">
        <f>H27*30*2*1240*'Справочные данные'!B2</f>
        <v>2568288</v>
      </c>
      <c r="E21" s="78" t="s">
        <v>45</v>
      </c>
      <c r="F21" s="78"/>
      <c r="G21" s="78"/>
      <c r="H21" s="78"/>
    </row>
    <row r="22" spans="1:11">
      <c r="A22" s="81" t="s">
        <v>101</v>
      </c>
      <c r="B22" s="82"/>
      <c r="C22" s="41">
        <f>H23*2</f>
        <v>600000</v>
      </c>
      <c r="E22" s="85" t="s">
        <v>4</v>
      </c>
      <c r="F22" s="85"/>
      <c r="G22" s="85"/>
      <c r="H22" s="22">
        <v>4</v>
      </c>
    </row>
    <row r="23" spans="1:11" ht="15" customHeight="1">
      <c r="A23" s="83" t="s">
        <v>7</v>
      </c>
      <c r="B23" s="84"/>
      <c r="C23" s="41">
        <f>SUM(C11:C22)</f>
        <v>14100288</v>
      </c>
      <c r="E23" s="92" t="s">
        <v>20</v>
      </c>
      <c r="F23" s="92"/>
      <c r="G23" s="92"/>
      <c r="H23" s="93">
        <v>300000</v>
      </c>
    </row>
    <row r="24" spans="1:11">
      <c r="A24" s="62"/>
      <c r="B24" s="62"/>
      <c r="C24" s="63"/>
      <c r="E24" s="92"/>
      <c r="F24" s="92"/>
      <c r="G24" s="92"/>
      <c r="H24" s="93"/>
    </row>
    <row r="25" spans="1:11">
      <c r="A25" s="66" t="s">
        <v>5</v>
      </c>
      <c r="B25" s="56"/>
      <c r="C25" s="54"/>
      <c r="E25" s="85" t="s">
        <v>21</v>
      </c>
      <c r="F25" s="85"/>
      <c r="G25" s="85"/>
      <c r="H25" s="22">
        <v>3</v>
      </c>
      <c r="I25" s="69" t="str">
        <f t="shared" ref="I25:I26" si="0">IF(H25&lt;H17, "Значение ниже необходимого", "")</f>
        <v>Значение ниже необходимого</v>
      </c>
    </row>
    <row r="26" spans="1:11">
      <c r="A26" s="81" t="s">
        <v>17</v>
      </c>
      <c r="B26" s="82"/>
      <c r="C26" s="41">
        <f>H22*7.5*700</f>
        <v>21000</v>
      </c>
      <c r="E26" s="85" t="s">
        <v>24</v>
      </c>
      <c r="F26" s="85"/>
      <c r="G26" s="85"/>
      <c r="H26" s="22">
        <v>1</v>
      </c>
      <c r="I26" s="69" t="str">
        <f t="shared" si="0"/>
        <v/>
      </c>
    </row>
    <row r="27" spans="1:11">
      <c r="A27" s="81" t="s">
        <v>6</v>
      </c>
      <c r="B27" s="82"/>
      <c r="C27" s="41">
        <f>'Справочные данные'!B14</f>
        <v>424270</v>
      </c>
      <c r="D27" s="59"/>
      <c r="E27" s="85" t="s">
        <v>23</v>
      </c>
      <c r="F27" s="85"/>
      <c r="G27" s="85"/>
      <c r="H27" s="23">
        <v>1</v>
      </c>
      <c r="I27" s="69" t="str">
        <f>IF(H27&lt;H19, "Значение ниже необходимого", "")</f>
        <v>Значение ниже необходимого</v>
      </c>
    </row>
    <row r="28" spans="1:11">
      <c r="A28" s="81" t="s">
        <v>18</v>
      </c>
      <c r="B28" s="82"/>
      <c r="C28" s="41">
        <f>70000*ROUNDUP(H27/10,0)</f>
        <v>70000</v>
      </c>
    </row>
    <row r="29" spans="1:11">
      <c r="A29" s="81" t="s">
        <v>19</v>
      </c>
      <c r="B29" s="82"/>
      <c r="C29" s="41">
        <v>40000</v>
      </c>
    </row>
    <row r="30" spans="1:11">
      <c r="A30" s="83" t="s">
        <v>7</v>
      </c>
      <c r="B30" s="84"/>
      <c r="C30" s="41">
        <f>SUM(C26:C29)</f>
        <v>555270</v>
      </c>
      <c r="H30" s="45"/>
    </row>
    <row r="31" spans="1:11">
      <c r="A31" s="36"/>
      <c r="B31" s="36"/>
      <c r="C31" s="60"/>
      <c r="D31" s="45"/>
      <c r="H31" s="45"/>
    </row>
    <row r="32" spans="1:11">
      <c r="A32" s="36"/>
      <c r="B32" s="36"/>
      <c r="C32" s="55"/>
      <c r="H32" s="45"/>
    </row>
    <row r="33" spans="1:11">
      <c r="A33" s="36"/>
      <c r="B33" s="36"/>
      <c r="C33" s="61"/>
      <c r="H33" s="45"/>
    </row>
    <row r="34" spans="1:11">
      <c r="A34" s="36"/>
      <c r="B34" s="36"/>
      <c r="C34" s="57"/>
      <c r="H34" s="45"/>
    </row>
    <row r="35" spans="1:11">
      <c r="C35" s="45"/>
    </row>
    <row r="36" spans="1:11" ht="14.25" customHeight="1">
      <c r="D36" s="45"/>
    </row>
    <row r="37" spans="1:11">
      <c r="D37" s="60"/>
    </row>
    <row r="38" spans="1:11">
      <c r="D38" s="45"/>
      <c r="F38" s="49"/>
      <c r="G38" s="50"/>
      <c r="H38" s="45"/>
    </row>
    <row r="39" spans="1:11" ht="15" customHeight="1">
      <c r="D39" s="45"/>
      <c r="F39" s="45"/>
      <c r="G39" s="45"/>
      <c r="H39" s="45"/>
      <c r="I39" s="45"/>
      <c r="K39" s="52"/>
    </row>
    <row r="40" spans="1:11">
      <c r="D40" s="45"/>
      <c r="F40" s="45"/>
      <c r="G40" s="45"/>
      <c r="H40" s="45"/>
    </row>
    <row r="41" spans="1:11">
      <c r="D41" s="45"/>
      <c r="F41" s="45"/>
      <c r="G41" s="45"/>
      <c r="H41" s="45"/>
    </row>
    <row r="42" spans="1:11">
      <c r="D42" s="45"/>
      <c r="F42" s="45"/>
      <c r="G42" s="45"/>
      <c r="H42" s="45"/>
    </row>
    <row r="43" spans="1:11">
      <c r="C43" s="45"/>
      <c r="D43" s="45"/>
      <c r="F43" s="45"/>
      <c r="G43" s="45"/>
      <c r="H43" s="45"/>
    </row>
    <row r="44" spans="1:11">
      <c r="D44" s="45"/>
      <c r="E44" s="45"/>
      <c r="F44" s="45"/>
      <c r="G44" s="45"/>
      <c r="H44" s="45"/>
    </row>
    <row r="45" spans="1:11">
      <c r="E45" s="45"/>
      <c r="F45" s="45"/>
    </row>
    <row r="46" spans="1:11">
      <c r="D46" s="53"/>
      <c r="E46" s="45"/>
      <c r="F46" s="45"/>
      <c r="G46" s="45"/>
      <c r="H46" s="45"/>
    </row>
    <row r="47" spans="1:11">
      <c r="E47" s="45"/>
      <c r="F47" s="45"/>
      <c r="G47" s="45"/>
      <c r="H47" s="45"/>
    </row>
    <row r="48" spans="1:11">
      <c r="E48" s="45"/>
    </row>
    <row r="49" spans="1:10">
      <c r="E49" s="45"/>
      <c r="J49" s="45"/>
    </row>
    <row r="50" spans="1:10">
      <c r="A50" s="36"/>
      <c r="B50" s="36"/>
      <c r="C50" s="60"/>
      <c r="E50" s="45"/>
    </row>
    <row r="51" spans="1:10">
      <c r="C51" s="45"/>
      <c r="D51" s="45"/>
      <c r="E51" s="45"/>
    </row>
    <row r="52" spans="1:10">
      <c r="A52" s="36"/>
      <c r="B52" s="36"/>
      <c r="E52" s="45"/>
      <c r="F52" s="45"/>
      <c r="G52" s="45"/>
      <c r="H52" s="45"/>
    </row>
    <row r="53" spans="1:10">
      <c r="A53" s="36"/>
      <c r="B53" s="36"/>
      <c r="C53" s="90" t="s">
        <v>73</v>
      </c>
      <c r="D53" s="90"/>
      <c r="E53" s="90"/>
      <c r="F53" s="70">
        <f>12-COUNTIF('Справочные данные'!B38:M38, "&gt;0")+1</f>
        <v>3</v>
      </c>
    </row>
    <row r="54" spans="1:10">
      <c r="A54" s="36"/>
      <c r="B54" s="36"/>
    </row>
    <row r="55" spans="1:10">
      <c r="A55" s="36"/>
      <c r="B55" s="36"/>
    </row>
    <row r="56" spans="1:10">
      <c r="A56" s="36"/>
      <c r="B56" s="36"/>
    </row>
    <row r="57" spans="1:10">
      <c r="A57" s="36"/>
      <c r="B57" s="36"/>
    </row>
    <row r="58" spans="1:10">
      <c r="A58" s="36"/>
      <c r="B58" s="36"/>
    </row>
    <row r="59" spans="1:10">
      <c r="A59" s="36"/>
      <c r="B59" s="36"/>
    </row>
    <row r="60" spans="1:10">
      <c r="A60" s="36"/>
      <c r="B60" s="36"/>
    </row>
    <row r="61" spans="1:10">
      <c r="A61" s="36"/>
      <c r="B61" s="36"/>
    </row>
    <row r="62" spans="1:10" ht="30" customHeight="1">
      <c r="E62" s="38"/>
      <c r="F62" s="38"/>
    </row>
    <row r="63" spans="1:10">
      <c r="F63" s="45"/>
      <c r="G63" s="45"/>
      <c r="H63" s="45"/>
    </row>
    <row r="64" spans="1:10">
      <c r="F64" s="45"/>
      <c r="G64" s="45"/>
      <c r="H64" s="45"/>
    </row>
    <row r="65" spans="2:8">
      <c r="F65" s="45"/>
      <c r="G65" s="45"/>
      <c r="H65" s="45"/>
    </row>
    <row r="66" spans="2:8">
      <c r="F66" s="45"/>
      <c r="G66" s="45"/>
      <c r="H66" s="45"/>
    </row>
    <row r="67" spans="2:8">
      <c r="E67" s="51"/>
      <c r="F67" s="45"/>
      <c r="G67" s="45"/>
      <c r="H67" s="45"/>
    </row>
    <row r="68" spans="2:8">
      <c r="E68" s="51"/>
      <c r="F68" s="45"/>
      <c r="G68" s="45"/>
      <c r="H68" s="45"/>
    </row>
    <row r="69" spans="2:8">
      <c r="E69" s="45"/>
      <c r="F69" s="45"/>
      <c r="G69" s="45"/>
      <c r="H69" s="45"/>
    </row>
    <row r="70" spans="2:8">
      <c r="E70" s="45"/>
      <c r="F70" s="45"/>
      <c r="G70" s="45"/>
      <c r="H70" s="45"/>
    </row>
    <row r="71" spans="2:8">
      <c r="E71" s="45"/>
      <c r="F71" s="45"/>
      <c r="G71" s="45"/>
      <c r="H71" s="45"/>
    </row>
    <row r="72" spans="2:8">
      <c r="C72" s="90" t="s">
        <v>72</v>
      </c>
      <c r="D72" s="90"/>
      <c r="E72" s="90"/>
      <c r="F72" s="76">
        <f>'Справочные данные'!N41</f>
        <v>19</v>
      </c>
      <c r="G72" s="45"/>
      <c r="H72" s="45"/>
    </row>
    <row r="73" spans="2:8">
      <c r="E73" s="45"/>
      <c r="F73" s="45"/>
      <c r="G73" s="45"/>
      <c r="H73" s="45"/>
    </row>
    <row r="74" spans="2:8">
      <c r="C74" s="40" t="s">
        <v>102</v>
      </c>
      <c r="D74" s="46" t="s">
        <v>76</v>
      </c>
      <c r="E74" s="46" t="s">
        <v>77</v>
      </c>
      <c r="F74" s="46" t="s">
        <v>78</v>
      </c>
      <c r="G74" s="45"/>
      <c r="H74" s="45"/>
    </row>
    <row r="75" spans="2:8" ht="30">
      <c r="C75" s="47" t="s">
        <v>74</v>
      </c>
      <c r="D75" s="71">
        <f>(SUM('Справочные данные'!B38:G38)/(SUM('Справочные данные'!B22:G22)*'Справочные данные'!B3))*100</f>
        <v>3.739591978075564</v>
      </c>
      <c r="E75" s="71">
        <f>(SUM('Справочные данные'!B38:M38)/(SUM('Справочные данные'!B22:M22)*'Справочные данные'!B3))*100</f>
        <v>5.8311553103257499</v>
      </c>
      <c r="F75" s="71">
        <f>'Справочные данные'!N38*12/('Справочные данные'!N22*12*'Справочные данные'!B3)*100</f>
        <v>6.6110588378481676</v>
      </c>
      <c r="G75" s="45"/>
      <c r="H75" s="45"/>
    </row>
    <row r="76" spans="2:8" ht="30">
      <c r="C76" s="47" t="s">
        <v>75</v>
      </c>
      <c r="D76" s="72">
        <f>(SUM('Справочные данные'!B38:G38)/Основной!C6)*100</f>
        <v>9.0628239230402059</v>
      </c>
      <c r="E76" s="72">
        <f>(SUM('Справочные данные'!B38:N38)/Основной!C6)*100</f>
        <v>59.37648877218944</v>
      </c>
      <c r="F76" s="71">
        <f>('Справочные данные'!N38*12/Основной!C6)*100</f>
        <v>86.686789281057457</v>
      </c>
      <c r="G76" s="45"/>
      <c r="H76" s="45"/>
    </row>
    <row r="77" spans="2:8">
      <c r="C77" s="65"/>
      <c r="D77" s="48"/>
      <c r="E77" s="48"/>
      <c r="F77" s="51"/>
      <c r="G77" s="45"/>
      <c r="H77" s="45"/>
    </row>
    <row r="78" spans="2:8">
      <c r="B78" s="57"/>
      <c r="C78" s="40" t="s">
        <v>102</v>
      </c>
      <c r="D78" s="46" t="s">
        <v>85</v>
      </c>
      <c r="E78" s="46" t="s">
        <v>86</v>
      </c>
      <c r="F78" s="46" t="s">
        <v>87</v>
      </c>
      <c r="G78" s="45"/>
      <c r="H78" s="45"/>
    </row>
    <row r="79" spans="2:8">
      <c r="C79" s="40" t="s">
        <v>84</v>
      </c>
      <c r="D79" s="73">
        <f>'Справочные данные'!C52</f>
        <v>-8325549.9114877647</v>
      </c>
      <c r="E79" s="73">
        <f>'Справочные данные'!D52</f>
        <v>3640176.0249005957</v>
      </c>
      <c r="F79" s="73">
        <f>'Справочные данные'!E52</f>
        <v>14719551.891926855</v>
      </c>
      <c r="G79" s="45"/>
      <c r="H79" s="45"/>
    </row>
    <row r="80" spans="2:8">
      <c r="C80" s="40" t="s">
        <v>90</v>
      </c>
      <c r="D80" s="74" t="e">
        <f>IF('Справочные данные'!C53&gt;0,'Справочные данные'!C53,"")</f>
        <v>#NUM!</v>
      </c>
      <c r="E80" s="74">
        <f>IF('Справочные данные'!D53&gt;0,'Справочные данные'!D53,"")</f>
        <v>0.22764722683771707</v>
      </c>
      <c r="F80" s="74">
        <f>IF('Справочные данные'!E53&gt;0,'Справочные данные'!E53,"")</f>
        <v>0.49197586942023863</v>
      </c>
      <c r="G80" s="45"/>
      <c r="H80" s="45"/>
    </row>
    <row r="81" spans="1:8">
      <c r="C81" s="58"/>
      <c r="D81" s="48"/>
      <c r="F81" s="48"/>
      <c r="G81" s="45"/>
      <c r="H81" s="45"/>
    </row>
    <row r="82" spans="1:8">
      <c r="C82" s="40" t="s">
        <v>91</v>
      </c>
      <c r="D82" s="75">
        <v>4</v>
      </c>
      <c r="F82" s="48"/>
      <c r="G82" s="45"/>
      <c r="H82" s="45"/>
    </row>
    <row r="83" spans="1:8">
      <c r="A83" s="36"/>
      <c r="B83" s="36"/>
      <c r="F83" s="45"/>
      <c r="G83" s="45"/>
      <c r="H83" s="45"/>
    </row>
  </sheetData>
  <sheetProtection password="CE28" sheet="1" objects="1" scenarios="1"/>
  <mergeCells count="42">
    <mergeCell ref="C53:E53"/>
    <mergeCell ref="C72:E72"/>
    <mergeCell ref="E18:G18"/>
    <mergeCell ref="E19:G19"/>
    <mergeCell ref="E15:G16"/>
    <mergeCell ref="E21:H21"/>
    <mergeCell ref="E25:G25"/>
    <mergeCell ref="E26:G26"/>
    <mergeCell ref="E27:G27"/>
    <mergeCell ref="E23:G24"/>
    <mergeCell ref="H23:H24"/>
    <mergeCell ref="E22:G22"/>
    <mergeCell ref="A6:B6"/>
    <mergeCell ref="A7:B7"/>
    <mergeCell ref="A8:B8"/>
    <mergeCell ref="E14:G14"/>
    <mergeCell ref="E17:G17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8:B28"/>
    <mergeCell ref="A29:B29"/>
    <mergeCell ref="A30:B30"/>
    <mergeCell ref="A21:B21"/>
    <mergeCell ref="A22:B22"/>
    <mergeCell ref="A23:B23"/>
    <mergeCell ref="A26:B26"/>
    <mergeCell ref="A27:B27"/>
    <mergeCell ref="H15:H16"/>
    <mergeCell ref="E7:G7"/>
    <mergeCell ref="E8:G8"/>
    <mergeCell ref="E5:H6"/>
    <mergeCell ref="E10:G10"/>
    <mergeCell ref="E11:G11"/>
    <mergeCell ref="E13:H13"/>
  </mergeCells>
  <conditionalFormatting sqref="E14">
    <cfRule type="duplicateValues" dxfId="2" priority="2"/>
  </conditionalFormatting>
  <conditionalFormatting sqref="E22 A25:B25 A26:A30">
    <cfRule type="duplicateValues" dxfId="1" priority="5"/>
  </conditionalFormatting>
  <printOptions gridLines="1"/>
  <pageMargins left="0.43307086614173229" right="0.23622047244094491" top="0.74803149606299213" bottom="0.35433070866141736" header="0.31496062992125984" footer="0.31496062992125984"/>
  <pageSetup paperSize="9" scale="6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6"/>
  <sheetViews>
    <sheetView topLeftCell="A19" zoomScale="85" zoomScaleNormal="85" workbookViewId="0">
      <selection activeCell="N41" sqref="N41"/>
    </sheetView>
  </sheetViews>
  <sheetFormatPr defaultRowHeight="15"/>
  <cols>
    <col min="1" max="1" width="28.5703125" bestFit="1" customWidth="1"/>
    <col min="2" max="2" width="10.85546875" bestFit="1" customWidth="1"/>
    <col min="3" max="3" width="12.28515625" bestFit="1" customWidth="1"/>
    <col min="4" max="4" width="11.28515625" bestFit="1" customWidth="1"/>
    <col min="5" max="5" width="12.28515625" bestFit="1" customWidth="1"/>
    <col min="6" max="9" width="10.85546875" bestFit="1" customWidth="1"/>
    <col min="10" max="10" width="14.28515625" bestFit="1" customWidth="1"/>
    <col min="11" max="12" width="10.85546875" bestFit="1" customWidth="1"/>
    <col min="13" max="13" width="11.42578125" bestFit="1" customWidth="1"/>
    <col min="14" max="14" width="11.5703125" bestFit="1" customWidth="1"/>
    <col min="15" max="20" width="10.85546875" bestFit="1" customWidth="1"/>
    <col min="21" max="37" width="10.28515625" bestFit="1" customWidth="1"/>
  </cols>
  <sheetData>
    <row r="1" spans="1:21">
      <c r="F1" s="1"/>
      <c r="G1" s="1"/>
      <c r="H1" s="1"/>
      <c r="I1" s="1"/>
      <c r="J1" s="1"/>
      <c r="K1" s="1"/>
      <c r="L1" s="1"/>
      <c r="M1" s="1"/>
      <c r="N1" s="1"/>
    </row>
    <row r="2" spans="1:21">
      <c r="A2" s="2" t="s">
        <v>27</v>
      </c>
      <c r="B2" s="7">
        <f>Основной!H10</f>
        <v>34.520000000000003</v>
      </c>
      <c r="F2" s="98" t="s">
        <v>48</v>
      </c>
      <c r="G2" s="98"/>
      <c r="H2" s="98"/>
      <c r="K2" s="94" t="s">
        <v>19</v>
      </c>
      <c r="L2" s="94"/>
      <c r="M2" s="94"/>
      <c r="N2" s="30">
        <f>Основной!H23</f>
        <v>300000</v>
      </c>
    </row>
    <row r="3" spans="1:21">
      <c r="A3" s="2" t="s">
        <v>28</v>
      </c>
      <c r="B3" s="8">
        <f>Основной!H11</f>
        <v>42.8048</v>
      </c>
      <c r="F3" s="94" t="s">
        <v>49</v>
      </c>
      <c r="G3" s="94"/>
      <c r="H3" s="30">
        <v>45000</v>
      </c>
      <c r="I3" s="1"/>
      <c r="J3" s="1"/>
    </row>
    <row r="4" spans="1:21">
      <c r="F4" s="94" t="s">
        <v>50</v>
      </c>
      <c r="G4" s="94"/>
      <c r="H4" s="30">
        <v>90000</v>
      </c>
      <c r="I4" s="1"/>
      <c r="J4" s="1"/>
      <c r="K4" s="1"/>
      <c r="L4" s="1"/>
      <c r="M4" s="1"/>
      <c r="N4" s="1"/>
    </row>
    <row r="5" spans="1:21">
      <c r="A5" s="2"/>
      <c r="B5" s="2" t="s">
        <v>29</v>
      </c>
      <c r="C5" s="2" t="s">
        <v>30</v>
      </c>
      <c r="F5" s="94" t="s">
        <v>12</v>
      </c>
      <c r="G5" s="94"/>
      <c r="H5" s="30">
        <v>186000</v>
      </c>
      <c r="I5" s="1"/>
      <c r="J5" s="1"/>
      <c r="K5" s="1"/>
      <c r="L5" s="1"/>
      <c r="M5" s="1"/>
      <c r="N5" s="1"/>
    </row>
    <row r="6" spans="1:21">
      <c r="A6" s="2" t="s">
        <v>31</v>
      </c>
      <c r="B6" s="30">
        <v>10000</v>
      </c>
      <c r="C6" s="30"/>
    </row>
    <row r="7" spans="1:21">
      <c r="A7" s="2" t="s">
        <v>96</v>
      </c>
      <c r="B7" s="30">
        <v>10000</v>
      </c>
      <c r="C7" s="30">
        <f>11000+30000/12</f>
        <v>13500</v>
      </c>
      <c r="F7" s="98"/>
      <c r="G7" s="98"/>
      <c r="H7" s="98"/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  <c r="P7" s="2" t="s">
        <v>43</v>
      </c>
    </row>
    <row r="8" spans="1:21">
      <c r="A8" s="2" t="s">
        <v>97</v>
      </c>
      <c r="B8" s="30">
        <v>25000</v>
      </c>
      <c r="C8" s="30">
        <f>B8*0.5/3+B8*1/3+B8*0.5/12</f>
        <v>13541.666666666666</v>
      </c>
      <c r="F8" s="94" t="s">
        <v>21</v>
      </c>
      <c r="G8" s="94"/>
      <c r="H8" s="94"/>
      <c r="I8" s="9">
        <f>Основной!H25</f>
        <v>3</v>
      </c>
      <c r="J8" s="30">
        <f>I8*H3</f>
        <v>135000</v>
      </c>
      <c r="K8" s="30">
        <f>J8*B3</f>
        <v>5778648</v>
      </c>
      <c r="L8" s="30">
        <f>I8*25000</f>
        <v>75000</v>
      </c>
      <c r="M8" s="30">
        <f>I8*3*500</f>
        <v>4500</v>
      </c>
      <c r="N8" s="30">
        <f>I8*20*30*B2</f>
        <v>62136.000000000007</v>
      </c>
      <c r="O8" s="30">
        <f>I8*250*10</f>
        <v>7500</v>
      </c>
      <c r="P8" s="30">
        <f>J8*B2</f>
        <v>4660200</v>
      </c>
    </row>
    <row r="9" spans="1:21">
      <c r="A9" s="2" t="s">
        <v>32</v>
      </c>
      <c r="B9" s="30">
        <v>21000</v>
      </c>
      <c r="C9" s="30">
        <f>B9*0.8/3+B9*1.25/12</f>
        <v>7787.5</v>
      </c>
      <c r="F9" s="94" t="s">
        <v>22</v>
      </c>
      <c r="G9" s="94"/>
      <c r="H9" s="94"/>
      <c r="I9" s="9">
        <f>Основной!H26</f>
        <v>1</v>
      </c>
      <c r="J9" s="30">
        <f>I9*H4</f>
        <v>90000</v>
      </c>
      <c r="K9" s="30">
        <f>J9*B3</f>
        <v>3852432</v>
      </c>
      <c r="L9" s="30">
        <f>I9*40000</f>
        <v>40000</v>
      </c>
      <c r="M9" s="30">
        <f>I9*2*500</f>
        <v>1000</v>
      </c>
      <c r="N9" s="30">
        <f>I9*22*30*B2</f>
        <v>22783.200000000001</v>
      </c>
      <c r="O9" s="30">
        <f>I9*450*10</f>
        <v>4500</v>
      </c>
      <c r="P9" s="30">
        <f>J9*B2</f>
        <v>3106800.0000000005</v>
      </c>
    </row>
    <row r="10" spans="1:21">
      <c r="A10" s="2" t="s">
        <v>33</v>
      </c>
      <c r="B10" s="30">
        <v>10000</v>
      </c>
      <c r="C10" s="30">
        <v>4000</v>
      </c>
      <c r="F10" s="94" t="s">
        <v>23</v>
      </c>
      <c r="G10" s="94"/>
      <c r="H10" s="94"/>
      <c r="I10" s="10">
        <f>Основной!H27</f>
        <v>1</v>
      </c>
      <c r="J10" s="32">
        <f>I10*H5</f>
        <v>186000</v>
      </c>
      <c r="K10" s="30">
        <f>IF(J10&gt;0,J10*B3,0)</f>
        <v>7961692.7999999998</v>
      </c>
      <c r="L10" s="30">
        <f>I10*50000</f>
        <v>50000</v>
      </c>
      <c r="M10" s="2">
        <v>0</v>
      </c>
      <c r="N10" s="2">
        <v>0</v>
      </c>
      <c r="O10" s="2">
        <v>0</v>
      </c>
      <c r="P10" s="30">
        <f>IF(J10&gt;0,J10*B3,0)</f>
        <v>7961692.7999999998</v>
      </c>
    </row>
    <row r="11" spans="1:21">
      <c r="A11" s="2" t="s">
        <v>94</v>
      </c>
      <c r="B11" s="30">
        <f>15000*I8*3</f>
        <v>135000</v>
      </c>
      <c r="C11" s="30">
        <f>J8*2</f>
        <v>270000</v>
      </c>
    </row>
    <row r="12" spans="1:21">
      <c r="A12" s="2" t="s">
        <v>95</v>
      </c>
      <c r="B12" s="30">
        <f>15000*I9*2</f>
        <v>30000</v>
      </c>
      <c r="C12" s="30">
        <f>J9*0.7</f>
        <v>62999.999999999993</v>
      </c>
      <c r="F12" s="103" t="s">
        <v>51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2"/>
    </row>
    <row r="13" spans="1:21">
      <c r="A13" s="2" t="s">
        <v>34</v>
      </c>
      <c r="B13" s="30">
        <v>70000</v>
      </c>
      <c r="C13" s="30">
        <v>0</v>
      </c>
      <c r="F13" s="94" t="s">
        <v>52</v>
      </c>
      <c r="G13" s="94"/>
      <c r="H13" s="94"/>
      <c r="I13" s="2">
        <v>1</v>
      </c>
      <c r="J13" s="2">
        <v>2</v>
      </c>
      <c r="K13" s="2">
        <v>3</v>
      </c>
      <c r="L13" s="2">
        <v>4</v>
      </c>
      <c r="M13" s="2">
        <v>5</v>
      </c>
      <c r="N13" s="2">
        <v>6</v>
      </c>
      <c r="O13" s="2">
        <v>7</v>
      </c>
      <c r="P13" s="2">
        <v>8</v>
      </c>
      <c r="Q13" s="2">
        <v>9</v>
      </c>
      <c r="R13" s="2">
        <v>10</v>
      </c>
      <c r="S13" s="2">
        <v>11</v>
      </c>
      <c r="T13" s="2">
        <v>12</v>
      </c>
      <c r="U13" s="2">
        <v>13</v>
      </c>
    </row>
    <row r="14" spans="1:21">
      <c r="A14" s="5" t="s">
        <v>35</v>
      </c>
      <c r="B14" s="30">
        <f>SUM(B6:B12)*1.47+B13</f>
        <v>424270</v>
      </c>
      <c r="C14" s="30">
        <f>SUM(C6:C13)*1.47</f>
        <v>546588.875</v>
      </c>
      <c r="F14" s="94" t="s">
        <v>53</v>
      </c>
      <c r="G14" s="94"/>
      <c r="H14" s="94"/>
      <c r="I14" s="2">
        <f>0</f>
        <v>0</v>
      </c>
      <c r="J14" s="2">
        <f>0</f>
        <v>0</v>
      </c>
      <c r="K14" s="2">
        <f>IF($N$2&lt;50000,0,IF($N$2&lt;100000,0,IF($N$2&lt;200000,0.1,IF($N$2&lt;300000,0.22,0.25))))</f>
        <v>0.25</v>
      </c>
      <c r="L14" s="2">
        <f>IF($N$2&lt;50000,0.08,IF($N$2&lt;100000,0.1,IF($N$2&lt;200000,0.15,IF($N$2&lt;300000,0.3,0.4))))</f>
        <v>0.4</v>
      </c>
      <c r="M14" s="2">
        <f>IF($N$2&lt;50000,0.15,IF($N$2&lt;100000,0.2,IF($N$2&lt;200000,0.35,IF($N$2&lt;300000,0.45,0.6))))</f>
        <v>0.6</v>
      </c>
      <c r="N14" s="2">
        <f>IF($N$2&lt;50000,0.2,IF($N$2&lt;100000,0.25,IF($N$2&lt;200000,0.45,IF($N$2&lt;300000,0.6,0.8))))</f>
        <v>0.8</v>
      </c>
      <c r="O14" s="2">
        <f>IF($N$2&lt;50000,0.25,IF($N$2&lt;100000,0.35,IF($N$2&lt;200000,0.55,IF($N$2&lt;300000,0.7,0.9))))</f>
        <v>0.9</v>
      </c>
      <c r="P14" s="2">
        <f>IF($N$2&lt;50000,0.35,IF($N$2&lt;100000,0.45,IF($N$2&lt;200000,0.65,IF($N$2&lt;300000,0.8,1))))</f>
        <v>1</v>
      </c>
      <c r="Q14" s="2">
        <f>IF($N$2&lt;50000,0.45,IF($N$2&lt;100000,0.55,IF($N$2&lt;200000,0.75,IF($N$2&lt;300000,0.9,1))))</f>
        <v>1</v>
      </c>
      <c r="R14" s="2">
        <f>IF($N$2&lt;50000,0.55,IF($N$2&lt;100000,0.65,IF($N$2&lt;200000,0.85,1)))</f>
        <v>1</v>
      </c>
      <c r="S14" s="2">
        <f>IF($N$2&lt;50000,0.65,IF($N$2&lt;100000,0.75,IF($N$2&lt;200000,0.95,1)))</f>
        <v>1</v>
      </c>
      <c r="T14" s="2">
        <f>IF($N$2&lt;50000,0.75,IF($N$2&lt;100000,0.85,1))</f>
        <v>1</v>
      </c>
      <c r="U14" s="2">
        <v>1</v>
      </c>
    </row>
    <row r="15" spans="1:21">
      <c r="F15" s="94" t="s">
        <v>54</v>
      </c>
      <c r="G15" s="94"/>
      <c r="H15" s="94"/>
      <c r="I15" s="2">
        <f>0</f>
        <v>0</v>
      </c>
      <c r="J15" s="2">
        <f>0</f>
        <v>0</v>
      </c>
      <c r="K15" s="2">
        <f>IF($N$2&lt;50000,0.165,IF($N$2&lt;100000,0.22,IF($N$2&lt;200000,0.2,IF($N$2&lt;300000,0.32,0.4))))</f>
        <v>0.4</v>
      </c>
      <c r="L15" s="2">
        <f>IF($N$2&lt;50000,0.2,IF($N$2&lt;100000,0.25,IF($N$2&lt;200000,0.3,IF($N$2&lt;300000,0.4,0.45))))</f>
        <v>0.45</v>
      </c>
      <c r="M15" s="2">
        <f>IF($N$2&lt;50000,0.25,IF($N$2&lt;100000,0.3,IF($N$2&lt;200000,0.35,IF($N$2&lt;300000,0.5,0.6))))</f>
        <v>0.6</v>
      </c>
      <c r="N15" s="2">
        <f>IF($N$2&lt;50000,0.3,IF($N$2&lt;100000,0.37,IF($N$2&lt;200000,0.5,IF($N$2&lt;300000,0.6,0.85))))</f>
        <v>0.85</v>
      </c>
      <c r="O15" s="2">
        <f>IF($N$2&lt;50000,0.35,IF($N$2&lt;100000,0.55,IF($N$2&lt;200000,0.7,IF($N$2&lt;300000,0.8,1))))</f>
        <v>1</v>
      </c>
      <c r="P15" s="2">
        <f>IF($N$2&lt;50000,0.4,IF($N$2&lt;100000,0.65,IF($N$2&lt;200000,0.9,1)))</f>
        <v>1</v>
      </c>
      <c r="Q15" s="2">
        <f>IF($N$2&lt;50000,0.5,IF($N$2&lt;100000,0.85,1))</f>
        <v>1</v>
      </c>
      <c r="R15" s="2">
        <f>IF($N$2&lt;50000,0.6,1)</f>
        <v>1</v>
      </c>
      <c r="S15" s="2">
        <f>IF($N$2&lt;50000,0.8,1)</f>
        <v>1</v>
      </c>
      <c r="T15" s="2">
        <f>1</f>
        <v>1</v>
      </c>
      <c r="U15" s="2">
        <v>1</v>
      </c>
    </row>
    <row r="17" spans="1:37">
      <c r="A17" s="95" t="s">
        <v>55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</row>
    <row r="18" spans="1:37">
      <c r="A18" s="16" t="s">
        <v>52</v>
      </c>
      <c r="B18" s="17">
        <v>1</v>
      </c>
      <c r="C18" s="17">
        <v>2</v>
      </c>
      <c r="D18" s="17">
        <v>3</v>
      </c>
      <c r="E18" s="17">
        <v>4</v>
      </c>
      <c r="F18" s="17">
        <v>5</v>
      </c>
      <c r="G18" s="17">
        <v>6</v>
      </c>
      <c r="H18" s="17">
        <v>7</v>
      </c>
      <c r="I18" s="17">
        <v>8</v>
      </c>
      <c r="J18" s="17">
        <v>9</v>
      </c>
      <c r="K18" s="17">
        <v>10</v>
      </c>
      <c r="L18" s="17">
        <v>11</v>
      </c>
      <c r="M18" s="17">
        <v>12</v>
      </c>
      <c r="N18" s="4">
        <v>13</v>
      </c>
    </row>
    <row r="19" spans="1:37">
      <c r="A19" s="11" t="s">
        <v>70</v>
      </c>
      <c r="B19" s="2">
        <f>$I$12*I14</f>
        <v>0</v>
      </c>
      <c r="C19" s="2">
        <f>$I$12*J14</f>
        <v>0</v>
      </c>
      <c r="D19" s="30">
        <f>$J$8*K14</f>
        <v>33750</v>
      </c>
      <c r="E19" s="30">
        <f t="shared" ref="E19:N19" si="0">$J$8*L14</f>
        <v>54000</v>
      </c>
      <c r="F19" s="30">
        <f t="shared" si="0"/>
        <v>81000</v>
      </c>
      <c r="G19" s="30">
        <f t="shared" si="0"/>
        <v>108000</v>
      </c>
      <c r="H19" s="30">
        <f t="shared" si="0"/>
        <v>121500</v>
      </c>
      <c r="I19" s="30">
        <f t="shared" si="0"/>
        <v>135000</v>
      </c>
      <c r="J19" s="30">
        <f t="shared" si="0"/>
        <v>135000</v>
      </c>
      <c r="K19" s="30">
        <f t="shared" si="0"/>
        <v>135000</v>
      </c>
      <c r="L19" s="30">
        <f t="shared" si="0"/>
        <v>135000</v>
      </c>
      <c r="M19" s="30">
        <f t="shared" si="0"/>
        <v>135000</v>
      </c>
      <c r="N19" s="30">
        <f t="shared" si="0"/>
        <v>135000</v>
      </c>
    </row>
    <row r="20" spans="1:37">
      <c r="A20" s="11" t="s">
        <v>69</v>
      </c>
      <c r="B20" s="2">
        <v>0</v>
      </c>
      <c r="C20" s="2">
        <v>0</v>
      </c>
      <c r="D20" s="30">
        <f>$J$9*K15</f>
        <v>36000</v>
      </c>
      <c r="E20" s="30">
        <f t="shared" ref="E20:N20" si="1">$J$9*L15</f>
        <v>40500</v>
      </c>
      <c r="F20" s="30">
        <f t="shared" si="1"/>
        <v>54000</v>
      </c>
      <c r="G20" s="30">
        <f t="shared" si="1"/>
        <v>76500</v>
      </c>
      <c r="H20" s="30">
        <f t="shared" si="1"/>
        <v>90000</v>
      </c>
      <c r="I20" s="30">
        <f t="shared" si="1"/>
        <v>90000</v>
      </c>
      <c r="J20" s="30">
        <f t="shared" si="1"/>
        <v>90000</v>
      </c>
      <c r="K20" s="30">
        <f t="shared" si="1"/>
        <v>90000</v>
      </c>
      <c r="L20" s="30">
        <f t="shared" si="1"/>
        <v>90000</v>
      </c>
      <c r="M20" s="30">
        <f t="shared" si="1"/>
        <v>90000</v>
      </c>
      <c r="N20" s="30">
        <f t="shared" si="1"/>
        <v>90000</v>
      </c>
    </row>
    <row r="21" spans="1:37">
      <c r="A21" s="11" t="s">
        <v>68</v>
      </c>
      <c r="B21" s="2">
        <v>0</v>
      </c>
      <c r="C21" s="2">
        <v>0</v>
      </c>
      <c r="D21" s="30">
        <f>$J$10*K15</f>
        <v>74400</v>
      </c>
      <c r="E21" s="30">
        <f t="shared" ref="E21:N21" si="2">$J$10*L15</f>
        <v>83700</v>
      </c>
      <c r="F21" s="30">
        <f t="shared" si="2"/>
        <v>111600</v>
      </c>
      <c r="G21" s="30">
        <f t="shared" si="2"/>
        <v>158100</v>
      </c>
      <c r="H21" s="30">
        <f t="shared" si="2"/>
        <v>186000</v>
      </c>
      <c r="I21" s="30">
        <f t="shared" si="2"/>
        <v>186000</v>
      </c>
      <c r="J21" s="30">
        <f t="shared" si="2"/>
        <v>186000</v>
      </c>
      <c r="K21" s="30">
        <f t="shared" si="2"/>
        <v>186000</v>
      </c>
      <c r="L21" s="30">
        <f t="shared" si="2"/>
        <v>186000</v>
      </c>
      <c r="M21" s="30">
        <f t="shared" si="2"/>
        <v>186000</v>
      </c>
      <c r="N21" s="30">
        <f t="shared" si="2"/>
        <v>186000</v>
      </c>
    </row>
    <row r="22" spans="1:37">
      <c r="A22" s="11" t="s">
        <v>67</v>
      </c>
      <c r="B22" s="2">
        <f t="shared" ref="B22:N22" si="3">SUM(B19:B21)</f>
        <v>0</v>
      </c>
      <c r="C22" s="2">
        <f t="shared" si="3"/>
        <v>0</v>
      </c>
      <c r="D22" s="30">
        <f t="shared" si="3"/>
        <v>144150</v>
      </c>
      <c r="E22" s="30">
        <f t="shared" si="3"/>
        <v>178200</v>
      </c>
      <c r="F22" s="30">
        <f t="shared" si="3"/>
        <v>246600</v>
      </c>
      <c r="G22" s="30">
        <f t="shared" si="3"/>
        <v>342600</v>
      </c>
      <c r="H22" s="30">
        <f t="shared" si="3"/>
        <v>397500</v>
      </c>
      <c r="I22" s="30">
        <f t="shared" si="3"/>
        <v>411000</v>
      </c>
      <c r="J22" s="30">
        <f t="shared" si="3"/>
        <v>411000</v>
      </c>
      <c r="K22" s="30">
        <f t="shared" si="3"/>
        <v>411000</v>
      </c>
      <c r="L22" s="30">
        <f t="shared" si="3"/>
        <v>411000</v>
      </c>
      <c r="M22" s="30">
        <f t="shared" si="3"/>
        <v>411000</v>
      </c>
      <c r="N22" s="30">
        <f t="shared" si="3"/>
        <v>411000</v>
      </c>
    </row>
    <row r="23" spans="1:37">
      <c r="A23" s="15" t="s">
        <v>71</v>
      </c>
      <c r="B23" s="3">
        <f>B22-B22/1.24</f>
        <v>0</v>
      </c>
      <c r="C23" s="3">
        <f>C22-C22/1.24</f>
        <v>0</v>
      </c>
      <c r="D23" s="30">
        <f>D22*$B$3-D22*$B$2</f>
        <v>1194253.92</v>
      </c>
      <c r="E23" s="30">
        <f t="shared" ref="E23:N23" si="4">E22*$B$3-E22*$B$2</f>
        <v>1476351.3599999994</v>
      </c>
      <c r="F23" s="30">
        <f t="shared" si="4"/>
        <v>2043031.6799999997</v>
      </c>
      <c r="G23" s="30">
        <f t="shared" si="4"/>
        <v>2838372.4799999986</v>
      </c>
      <c r="H23" s="30">
        <f t="shared" si="4"/>
        <v>3293207.9999999981</v>
      </c>
      <c r="I23" s="30">
        <f t="shared" si="4"/>
        <v>3405052.7999999989</v>
      </c>
      <c r="J23" s="30">
        <f t="shared" si="4"/>
        <v>3405052.7999999989</v>
      </c>
      <c r="K23" s="30">
        <f t="shared" si="4"/>
        <v>3405052.7999999989</v>
      </c>
      <c r="L23" s="30">
        <f t="shared" si="4"/>
        <v>3405052.7999999989</v>
      </c>
      <c r="M23" s="30">
        <f t="shared" si="4"/>
        <v>3405052.7999999989</v>
      </c>
      <c r="N23" s="30">
        <f t="shared" si="4"/>
        <v>3405052.7999999989</v>
      </c>
    </row>
    <row r="24" spans="1:37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37">
      <c r="A25" s="95" t="s">
        <v>57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7"/>
    </row>
    <row r="26" spans="1:37">
      <c r="A26" s="16" t="s">
        <v>52</v>
      </c>
      <c r="B26" s="18">
        <v>1</v>
      </c>
      <c r="C26" s="18">
        <v>2</v>
      </c>
      <c r="D26" s="18">
        <v>3</v>
      </c>
      <c r="E26" s="18">
        <v>4</v>
      </c>
      <c r="F26" s="18">
        <v>5</v>
      </c>
      <c r="G26" s="18">
        <v>6</v>
      </c>
      <c r="H26" s="18">
        <v>7</v>
      </c>
      <c r="I26" s="18">
        <v>8</v>
      </c>
      <c r="J26" s="18">
        <v>9</v>
      </c>
      <c r="K26" s="18">
        <v>10</v>
      </c>
      <c r="L26" s="18">
        <v>11</v>
      </c>
      <c r="M26" s="18">
        <v>12</v>
      </c>
      <c r="N26" s="20">
        <v>13</v>
      </c>
    </row>
    <row r="27" spans="1:37">
      <c r="A27" s="11" t="s">
        <v>49</v>
      </c>
      <c r="B27" s="3">
        <f t="shared" ref="B27:N27" si="5">$J$8*I14*2</f>
        <v>0</v>
      </c>
      <c r="C27" s="3">
        <f t="shared" si="5"/>
        <v>0</v>
      </c>
      <c r="D27" s="30">
        <f t="shared" si="5"/>
        <v>67500</v>
      </c>
      <c r="E27" s="30">
        <f t="shared" si="5"/>
        <v>108000</v>
      </c>
      <c r="F27" s="30">
        <f t="shared" si="5"/>
        <v>162000</v>
      </c>
      <c r="G27" s="30">
        <f t="shared" si="5"/>
        <v>216000</v>
      </c>
      <c r="H27" s="30">
        <f t="shared" si="5"/>
        <v>243000</v>
      </c>
      <c r="I27" s="30">
        <f t="shared" si="5"/>
        <v>270000</v>
      </c>
      <c r="J27" s="30">
        <f t="shared" si="5"/>
        <v>270000</v>
      </c>
      <c r="K27" s="30">
        <f t="shared" si="5"/>
        <v>270000</v>
      </c>
      <c r="L27" s="30">
        <f t="shared" si="5"/>
        <v>270000</v>
      </c>
      <c r="M27" s="30">
        <f t="shared" si="5"/>
        <v>270000</v>
      </c>
      <c r="N27" s="30">
        <f t="shared" si="5"/>
        <v>270000</v>
      </c>
    </row>
    <row r="28" spans="1:37">
      <c r="A28" s="11" t="s">
        <v>50</v>
      </c>
      <c r="B28" s="3">
        <f t="shared" ref="B28:N28" si="6">$J$9*I15*0.7</f>
        <v>0</v>
      </c>
      <c r="C28" s="3">
        <f t="shared" si="6"/>
        <v>0</v>
      </c>
      <c r="D28" s="30">
        <f t="shared" si="6"/>
        <v>25200</v>
      </c>
      <c r="E28" s="30">
        <f t="shared" si="6"/>
        <v>28350</v>
      </c>
      <c r="F28" s="30">
        <f t="shared" si="6"/>
        <v>37800</v>
      </c>
      <c r="G28" s="30">
        <f t="shared" si="6"/>
        <v>53550</v>
      </c>
      <c r="H28" s="30">
        <f t="shared" si="6"/>
        <v>62999.999999999993</v>
      </c>
      <c r="I28" s="30">
        <f t="shared" si="6"/>
        <v>62999.999999999993</v>
      </c>
      <c r="J28" s="30">
        <f t="shared" si="6"/>
        <v>62999.999999999993</v>
      </c>
      <c r="K28" s="30">
        <f t="shared" si="6"/>
        <v>62999.999999999993</v>
      </c>
      <c r="L28" s="30">
        <f t="shared" si="6"/>
        <v>62999.999999999993</v>
      </c>
      <c r="M28" s="30">
        <f t="shared" si="6"/>
        <v>62999.999999999993</v>
      </c>
      <c r="N28" s="30">
        <f t="shared" si="6"/>
        <v>62999.999999999993</v>
      </c>
      <c r="O28" s="1"/>
    </row>
    <row r="29" spans="1:37">
      <c r="A29" s="6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37">
      <c r="A30" s="99" t="s">
        <v>58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spans="1:37">
      <c r="A31" s="21" t="s">
        <v>59</v>
      </c>
      <c r="B31" s="19">
        <v>1</v>
      </c>
      <c r="C31" s="19">
        <v>2</v>
      </c>
      <c r="D31" s="19">
        <v>3</v>
      </c>
      <c r="E31" s="19">
        <v>4</v>
      </c>
      <c r="F31" s="19">
        <v>5</v>
      </c>
      <c r="G31" s="19">
        <v>6</v>
      </c>
      <c r="H31" s="19">
        <v>7</v>
      </c>
      <c r="I31" s="19">
        <v>8</v>
      </c>
      <c r="J31" s="19">
        <v>9</v>
      </c>
      <c r="K31" s="19">
        <v>10</v>
      </c>
      <c r="L31" s="19">
        <v>11</v>
      </c>
      <c r="M31" s="19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4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4">
        <v>31</v>
      </c>
      <c r="AG31" s="14">
        <v>32</v>
      </c>
      <c r="AH31" s="14">
        <v>33</v>
      </c>
      <c r="AI31" s="14">
        <v>34</v>
      </c>
      <c r="AJ31" s="14">
        <v>35</v>
      </c>
      <c r="AK31" s="14">
        <v>36</v>
      </c>
    </row>
    <row r="32" spans="1:37" s="1" customFormat="1">
      <c r="A32" s="21" t="s">
        <v>19</v>
      </c>
      <c r="B32" s="33">
        <f>$N$2+Основной!$C$29</f>
        <v>340000</v>
      </c>
      <c r="C32" s="33">
        <f>$N$2+Основной!$C$29</f>
        <v>340000</v>
      </c>
      <c r="D32" s="33">
        <f>Основной!$C$29</f>
        <v>40000</v>
      </c>
      <c r="E32" s="33">
        <f>Основной!$C$29</f>
        <v>40000</v>
      </c>
      <c r="F32" s="33">
        <f>Основной!$C$29</f>
        <v>40000</v>
      </c>
      <c r="G32" s="33">
        <f>Основной!$C$29</f>
        <v>40000</v>
      </c>
      <c r="H32" s="33">
        <f>Основной!$C$29</f>
        <v>40000</v>
      </c>
      <c r="I32" s="33">
        <f>Основной!$C$29</f>
        <v>40000</v>
      </c>
      <c r="J32" s="33">
        <f>Основной!$C$29</f>
        <v>40000</v>
      </c>
      <c r="K32" s="33">
        <f>Основной!$C$29</f>
        <v>40000</v>
      </c>
      <c r="L32" s="33">
        <f>Основной!$C$29</f>
        <v>40000</v>
      </c>
      <c r="M32" s="33">
        <f>Основной!$C$29</f>
        <v>40000</v>
      </c>
      <c r="N32" s="33">
        <f>Основной!$C$29</f>
        <v>40000</v>
      </c>
      <c r="O32" s="33">
        <f>Основной!$C$29</f>
        <v>40000</v>
      </c>
      <c r="P32" s="33">
        <f>Основной!$C$29</f>
        <v>40000</v>
      </c>
      <c r="Q32" s="33">
        <f>Основной!$C$29</f>
        <v>40000</v>
      </c>
      <c r="R32" s="33">
        <f>Основной!$C$29</f>
        <v>40000</v>
      </c>
      <c r="S32" s="33">
        <f>Основной!$C$29</f>
        <v>40000</v>
      </c>
      <c r="T32" s="33">
        <f>Основной!$C$29</f>
        <v>40000</v>
      </c>
      <c r="U32" s="33">
        <f>Основной!$C$29</f>
        <v>40000</v>
      </c>
      <c r="V32" s="33">
        <f>Основной!$C$29</f>
        <v>40000</v>
      </c>
      <c r="W32" s="33">
        <f>Основной!$C$29</f>
        <v>40000</v>
      </c>
      <c r="X32" s="33">
        <f>Основной!$C$29</f>
        <v>40000</v>
      </c>
      <c r="Y32" s="33">
        <f>Основной!$C$29</f>
        <v>40000</v>
      </c>
      <c r="Z32" s="33">
        <f>Основной!$C$29</f>
        <v>40000</v>
      </c>
      <c r="AA32" s="33">
        <f>Основной!$C$29</f>
        <v>40000</v>
      </c>
      <c r="AB32" s="33">
        <f>Основной!$C$29</f>
        <v>40000</v>
      </c>
      <c r="AC32" s="33">
        <f>Основной!$C$29</f>
        <v>40000</v>
      </c>
      <c r="AD32" s="33">
        <f>Основной!$C$29</f>
        <v>40000</v>
      </c>
      <c r="AE32" s="33">
        <f>Основной!$C$29</f>
        <v>40000</v>
      </c>
      <c r="AF32" s="33">
        <f>Основной!$C$29</f>
        <v>40000</v>
      </c>
      <c r="AG32" s="33">
        <f>Основной!$C$29</f>
        <v>40000</v>
      </c>
      <c r="AH32" s="33">
        <f>Основной!$C$29</f>
        <v>40000</v>
      </c>
      <c r="AI32" s="33">
        <f>Основной!$C$29</f>
        <v>40000</v>
      </c>
      <c r="AJ32" s="33">
        <f>Основной!$C$29</f>
        <v>40000</v>
      </c>
      <c r="AK32" s="33">
        <f>Основной!$C$29</f>
        <v>40000</v>
      </c>
    </row>
    <row r="33" spans="1:37">
      <c r="A33" s="21" t="s">
        <v>60</v>
      </c>
      <c r="B33" s="34">
        <v>0</v>
      </c>
      <c r="C33" s="34">
        <v>0</v>
      </c>
      <c r="D33" s="34">
        <f>$L$8+$L$9+$L$10+$M$8+$M$9+$N$8+$N$9+$O$8+$O$9+$B$14+(D27+D28+$C$7+$C$8+$C$9+$C$10)*1.47+Основной!$C$30-Основной!$C$27</f>
        <v>1016037.075</v>
      </c>
      <c r="E33" s="34">
        <f>$L$8+$L$9+$L$10+$M$8+$M$9+$N$8+$N$9+$O$8+$O$9+$B$14+(E27+E28+$C$7+$C$8+$C$9+$C$10)*1.47+Основной!$C$30-Основной!$C$27</f>
        <v>1080202.575</v>
      </c>
      <c r="F33" s="34">
        <f>$L$8+$L$9+$L$10+$M$8+$M$9+$N$8+$N$9+$O$8+$O$9+$B$14+(F27+F28+$C$7+$C$8+$C$9+$C$10)*1.47+Основной!$C$30-Основной!$C$27</f>
        <v>1173474.075</v>
      </c>
      <c r="G33" s="34">
        <f>$L$8+$L$9+$L$10+$M$8+$M$9+$N$8+$N$9+$O$8+$O$9+$B$14+(G27+G28+$C$7+$C$8+$C$9+$C$10)*1.47+Основной!$C$30-Основной!$C$27</f>
        <v>1276006.575</v>
      </c>
      <c r="H33" s="34">
        <f>$L$8+$L$9+$L$10+$M$8+$M$9+$N$8+$N$9+$O$8+$O$9+$B$14+(H27+H28+$C$7+$C$8+$C$9+$C$10)*1.47+Основной!$C$30-Основной!$C$27</f>
        <v>1329588.075</v>
      </c>
      <c r="I33" s="34">
        <f>$L$8+$L$9+$L$10+$M$8+$M$9+$N$8+$N$9+$O$8+$O$9+$B$14+(I27+I28+$C$7+$C$8+$C$9+$C$10)*1.47+Основной!$C$30-Основной!$C$27</f>
        <v>1369278.075</v>
      </c>
      <c r="J33" s="34">
        <f>$L$8+$L$9+$L$10+$M$8+$M$9+$N$8+$N$9+$O$8+$O$9+$B$14+(J27+J28+$C$7+$C$8+$C$9+$C$10)*1.47+Основной!$C$30-Основной!$C$27</f>
        <v>1369278.075</v>
      </c>
      <c r="K33" s="34">
        <f>$L$8+$L$9+$L$10+$M$8+$M$9+$N$8+$N$9+$O$8+$O$9+$B$14+(K27+K28+$C$7+$C$8+$C$9+$C$10)*1.47+Основной!$C$30-Основной!$C$27</f>
        <v>1369278.075</v>
      </c>
      <c r="L33" s="34">
        <f>$L$8+$L$9+$L$10+$M$8+$M$9+$N$8+$N$9+$O$8+$O$9+$B$14+(L27+L28+$C$7+$C$8+$C$9+$C$10)*1.47+Основной!$C$30-Основной!$C$27</f>
        <v>1369278.075</v>
      </c>
      <c r="M33" s="34">
        <f>$L$8+$L$9+$L$10+$M$8+$M$9+$N$8+$N$9+$O$8+$O$9+$B$14+(M27+M28+$C$7+$C$8+$C$9+$C$10)*1.47+Основной!$C$30-Основной!$C$27</f>
        <v>1369278.075</v>
      </c>
      <c r="N33" s="34">
        <f>$L$8+$L$9+$L$10+$M$8+$M$9+$N$8+$N$9+$O$8+$O$9+$B$14+(N27+N28+$C$7+$C$8+$C$9+$C$10)*1.47+Основной!$C$30-Основной!$C$27</f>
        <v>1369278.075</v>
      </c>
      <c r="O33" s="34">
        <f>$L$8+$L$9+$L$10+$M$8+$M$9+$N$8+$N$9+$O$8+$O$9+$B$14+(O27+O28+$C$7+$C$8+$C$9+$C$10)*1.47+Основной!$C$30-Основной!$C$27</f>
        <v>879768.07499999995</v>
      </c>
      <c r="P33" s="34">
        <f>$L$8+$L$9+$L$10+$M$8+$M$9+$N$8+$N$9+$O$8+$O$9+$B$14+(P27+P28+$C$7+$C$8+$C$9+$C$10)*1.47+Основной!$C$30-Основной!$C$27</f>
        <v>879768.07499999995</v>
      </c>
      <c r="Q33" s="34">
        <f>$L$8+$L$9+$L$10+$M$8+$M$9+$N$8+$N$9+$O$8+$O$9+$B$14+(Q27+Q28+$C$7+$C$8+$C$9+$C$10)*1.47+Основной!$C$30-Основной!$C$27</f>
        <v>879768.07499999995</v>
      </c>
      <c r="R33" s="34">
        <f>$L$8+$L$9+$L$10+$M$8+$M$9+$N$8+$N$9+$O$8+$O$9+$B$14+(R27+R28+$C$7+$C$8+$C$9+$C$10)*1.47+Основной!$C$30-Основной!$C$27</f>
        <v>879768.07499999995</v>
      </c>
      <c r="S33" s="34">
        <f>$L$8+$L$9+$L$10+$M$8+$M$9+$N$8+$N$9+$O$8+$O$9+$B$14+(S27+S28+$C$7+$C$8+$C$9+$C$10)*1.47+Основной!$C$30-Основной!$C$27</f>
        <v>879768.07499999995</v>
      </c>
      <c r="T33" s="34">
        <f>$L$8+$L$9+$L$10+$M$8+$M$9+$N$8+$N$9+$O$8+$O$9+$B$14+(T27+T28+$C$7+$C$8+$C$9+$C$10)*1.47+Основной!$C$30-Основной!$C$27</f>
        <v>879768.07499999995</v>
      </c>
      <c r="U33" s="34">
        <f>$L$8+$L$9+$L$10+$M$8+$M$9+$N$8+$N$9+$O$8+$O$9+$B$14+(U27+U28+$C$7+$C$8+$C$9+$C$10)*1.47+Основной!$C$30-Основной!$C$27</f>
        <v>879768.07499999995</v>
      </c>
      <c r="V33" s="34">
        <f>$L$8+$L$9+$L$10+$M$8+$M$9+$N$8+$N$9+$O$8+$O$9+$B$14+(V27+V28+$C$7+$C$8+$C$9+$C$10)*1.47+Основной!$C$30-Основной!$C$27</f>
        <v>879768.07499999995</v>
      </c>
      <c r="W33" s="34">
        <f>$L$8+$L$9+$L$10+$M$8+$M$9+$N$8+$N$9+$O$8+$O$9+$B$14+(W27+W28+$C$7+$C$8+$C$9+$C$10)*1.47+Основной!$C$30-Основной!$C$27</f>
        <v>879768.07499999995</v>
      </c>
      <c r="X33" s="34">
        <f>$L$8+$L$9+$L$10+$M$8+$M$9+$N$8+$N$9+$O$8+$O$9+$B$14+(X27+X28+$C$7+$C$8+$C$9+$C$10)*1.47+Основной!$C$30-Основной!$C$27</f>
        <v>879768.07499999995</v>
      </c>
      <c r="Y33" s="34">
        <f>$L$8+$L$9+$L$10+$M$8+$M$9+$N$8+$N$9+$O$8+$O$9+$B$14+(Y27+Y28+$C$7+$C$8+$C$9+$C$10)*1.47+Основной!$C$30-Основной!$C$27</f>
        <v>879768.07499999995</v>
      </c>
      <c r="Z33" s="34">
        <f>$L$8+$L$9+$L$10+$M$8+$M$9+$N$8+$N$9+$O$8+$O$9+$B$14+(Z27+Z28+$C$7+$C$8+$C$9+$C$10)*1.47+Основной!$C$30-Основной!$C$27</f>
        <v>879768.07499999995</v>
      </c>
      <c r="AA33" s="34">
        <f>$L$8+$L$9+$L$10+$M$8+$M$9+$N$8+$N$9+$O$8+$O$9+$B$14+(AA27+AA28+$C$7+$C$8+$C$9+$C$10)*1.47+Основной!$C$30-Основной!$C$27</f>
        <v>879768.07499999995</v>
      </c>
      <c r="AB33" s="34">
        <f>$L$8+$L$9+$L$10+$M$8+$M$9+$N$8+$N$9+$O$8+$O$9+$B$14+(AB27+AB28+$C$7+$C$8+$C$9+$C$10)*1.47+Основной!$C$30-Основной!$C$27</f>
        <v>879768.07499999995</v>
      </c>
      <c r="AC33" s="34">
        <f>$L$8+$L$9+$L$10+$M$8+$M$9+$N$8+$N$9+$O$8+$O$9+$B$14+(AC27+AC28+$C$7+$C$8+$C$9+$C$10)*1.47+Основной!$C$30-Основной!$C$27</f>
        <v>879768.07499999995</v>
      </c>
      <c r="AD33" s="34">
        <f>$L$8+$L$9+$L$10+$M$8+$M$9+$N$8+$N$9+$O$8+$O$9+$B$14+(AD27+AD28+$C$7+$C$8+$C$9+$C$10)*1.47+Основной!$C$30-Основной!$C$27</f>
        <v>879768.07499999995</v>
      </c>
      <c r="AE33" s="34">
        <f>$L$8+$L$9+$L$10+$M$8+$M$9+$N$8+$N$9+$O$8+$O$9+$B$14+(AE27+AE28+$C$7+$C$8+$C$9+$C$10)*1.47+Основной!$C$30-Основной!$C$27</f>
        <v>879768.07499999995</v>
      </c>
      <c r="AF33" s="34">
        <f>$L$8+$L$9+$L$10+$M$8+$M$9+$N$8+$N$9+$O$8+$O$9+$B$14+(AF27+AF28+$C$7+$C$8+$C$9+$C$10)*1.47+Основной!$C$30-Основной!$C$27</f>
        <v>879768.07499999995</v>
      </c>
      <c r="AG33" s="34">
        <f>$L$8+$L$9+$L$10+$M$8+$M$9+$N$8+$N$9+$O$8+$O$9+$B$14+(AG27+AG28+$C$7+$C$8+$C$9+$C$10)*1.47+Основной!$C$30-Основной!$C$27</f>
        <v>879768.07499999995</v>
      </c>
      <c r="AH33" s="34">
        <f>$L$8+$L$9+$L$10+$M$8+$M$9+$N$8+$N$9+$O$8+$O$9+$B$14+(AH27+AH28+$C$7+$C$8+$C$9+$C$10)*1.47+Основной!$C$30-Основной!$C$27</f>
        <v>879768.07499999995</v>
      </c>
      <c r="AI33" s="34">
        <f>$L$8+$L$9+$L$10+$M$8+$M$9+$N$8+$N$9+$O$8+$O$9+$B$14+(AI27+AI28+$C$7+$C$8+$C$9+$C$10)*1.47+Основной!$C$30-Основной!$C$27</f>
        <v>879768.07499999995</v>
      </c>
      <c r="AJ33" s="34">
        <f>$L$8+$L$9+$L$10+$M$8+$M$9+$N$8+$N$9+$O$8+$O$9+$B$14+(AJ27+AJ28+$C$7+$C$8+$C$9+$C$10)*1.47+Основной!$C$30-Основной!$C$27</f>
        <v>879768.07499999995</v>
      </c>
      <c r="AK33" s="34">
        <f>$L$8+$L$9+$L$10+$M$8+$M$9+$N$8+$N$9+$O$8+$O$9+$B$14+(AK27+AK28+$C$7+$C$8+$C$9+$C$10)*1.47+Основной!$C$30-Основной!$C$27</f>
        <v>879768.07499999995</v>
      </c>
    </row>
    <row r="34" spans="1:37">
      <c r="A34" s="21" t="s">
        <v>8</v>
      </c>
      <c r="B34" s="34">
        <v>0</v>
      </c>
      <c r="C34" s="34">
        <v>0</v>
      </c>
      <c r="D34" s="34">
        <f t="shared" ref="D34:M34" si="7">D22*0.3</f>
        <v>43245</v>
      </c>
      <c r="E34" s="34">
        <f t="shared" si="7"/>
        <v>53460</v>
      </c>
      <c r="F34" s="34">
        <f t="shared" si="7"/>
        <v>73980</v>
      </c>
      <c r="G34" s="34">
        <f t="shared" si="7"/>
        <v>102780</v>
      </c>
      <c r="H34" s="34">
        <f t="shared" si="7"/>
        <v>119250</v>
      </c>
      <c r="I34" s="34">
        <f t="shared" si="7"/>
        <v>123300</v>
      </c>
      <c r="J34" s="34">
        <f t="shared" si="7"/>
        <v>123300</v>
      </c>
      <c r="K34" s="34">
        <f t="shared" si="7"/>
        <v>123300</v>
      </c>
      <c r="L34" s="34">
        <f t="shared" si="7"/>
        <v>123300</v>
      </c>
      <c r="M34" s="34">
        <f t="shared" si="7"/>
        <v>123300</v>
      </c>
      <c r="N34" s="34">
        <f>$N$22*0.3</f>
        <v>123300</v>
      </c>
      <c r="O34" s="34">
        <f t="shared" ref="O34:AK34" si="8">$N$22*0.3</f>
        <v>123300</v>
      </c>
      <c r="P34" s="34">
        <f t="shared" si="8"/>
        <v>123300</v>
      </c>
      <c r="Q34" s="34">
        <f t="shared" si="8"/>
        <v>123300</v>
      </c>
      <c r="R34" s="34">
        <f t="shared" si="8"/>
        <v>123300</v>
      </c>
      <c r="S34" s="34">
        <f t="shared" si="8"/>
        <v>123300</v>
      </c>
      <c r="T34" s="34">
        <f t="shared" si="8"/>
        <v>123300</v>
      </c>
      <c r="U34" s="34">
        <f t="shared" si="8"/>
        <v>123300</v>
      </c>
      <c r="V34" s="34">
        <f t="shared" si="8"/>
        <v>123300</v>
      </c>
      <c r="W34" s="34">
        <f t="shared" si="8"/>
        <v>123300</v>
      </c>
      <c r="X34" s="34">
        <f t="shared" si="8"/>
        <v>123300</v>
      </c>
      <c r="Y34" s="34">
        <f t="shared" si="8"/>
        <v>123300</v>
      </c>
      <c r="Z34" s="34">
        <f t="shared" si="8"/>
        <v>123300</v>
      </c>
      <c r="AA34" s="34">
        <f t="shared" si="8"/>
        <v>123300</v>
      </c>
      <c r="AB34" s="34">
        <f t="shared" si="8"/>
        <v>123300</v>
      </c>
      <c r="AC34" s="34">
        <f t="shared" si="8"/>
        <v>123300</v>
      </c>
      <c r="AD34" s="34">
        <f t="shared" si="8"/>
        <v>123300</v>
      </c>
      <c r="AE34" s="34">
        <f t="shared" si="8"/>
        <v>123300</v>
      </c>
      <c r="AF34" s="34">
        <f t="shared" si="8"/>
        <v>123300</v>
      </c>
      <c r="AG34" s="34">
        <f t="shared" si="8"/>
        <v>123300</v>
      </c>
      <c r="AH34" s="34">
        <f t="shared" si="8"/>
        <v>123300</v>
      </c>
      <c r="AI34" s="34">
        <f t="shared" si="8"/>
        <v>123300</v>
      </c>
      <c r="AJ34" s="34">
        <f t="shared" si="8"/>
        <v>123300</v>
      </c>
      <c r="AK34" s="34">
        <f t="shared" si="8"/>
        <v>123300</v>
      </c>
    </row>
    <row r="35" spans="1:37">
      <c r="A35" s="21" t="s">
        <v>61</v>
      </c>
      <c r="B35" s="34">
        <v>0</v>
      </c>
      <c r="C35" s="34">
        <v>0</v>
      </c>
      <c r="D35" s="34">
        <f>(D36/118*18)-(($L$8+$L$9+$L$10+$M$8+$M$9+$N$8+$N$9+$O$8+$O$9+Основной!$C$29+Основной!$C$26+Основной!$C$28)/118*18)</f>
        <v>121398.51661016948</v>
      </c>
      <c r="E35" s="34">
        <f>(E36/118*18)-(($L$8+$L$9+$L$10+$M$8+$M$9+$N$8+$N$9+$O$8+$O$9+Основной!$C$29+Основной!$C$26+Основной!$C$28)/118*18)</f>
        <v>164430.32949152531</v>
      </c>
      <c r="F35" s="34">
        <f>(F36/118*18)-(($L$8+$L$9+$L$10+$M$8+$M$9+$N$8+$N$9+$O$8+$O$9+Основной!$C$29+Основной!$C$26+Основной!$C$28)/118*18)</f>
        <v>250873.09016949148</v>
      </c>
      <c r="G35" s="34">
        <f>(G36/118*18)-(($L$8+$L$9+$L$10+$M$8+$M$9+$N$8+$N$9+$O$8+$O$9+Основной!$C$29+Основной!$C$26+Основной!$C$28)/118*18)</f>
        <v>372196.26305084728</v>
      </c>
      <c r="H35" s="34">
        <f>(H36/118*18)-(($L$8+$L$9+$L$10+$M$8+$M$9+$N$8+$N$9+$O$8+$O$9+Основной!$C$29+Основной!$C$26+Основной!$C$28)/118*18)</f>
        <v>441577.95254237263</v>
      </c>
      <c r="I35" s="34">
        <f>(I36/118*18)-(($L$8+$L$9+$L$10+$M$8+$M$9+$N$8+$N$9+$O$8+$O$9+Основной!$C$29+Основной!$C$26+Основной!$C$28)/118*18)</f>
        <v>458639.02372881345</v>
      </c>
      <c r="J35" s="34">
        <f>(J36/118*18)-(($L$8+$L$9+$L$10+$M$8+$M$9+$N$8+$N$9+$O$8+$O$9+Основной!$C$29+Основной!$C$26+Основной!$C$28)/118*18)</f>
        <v>458639.02372881345</v>
      </c>
      <c r="K35" s="34">
        <f>(K36/118*18)-(($L$8+$L$9+$L$10+$M$8+$M$9+$N$8+$N$9+$O$8+$O$9+Основной!$C$29+Основной!$C$26+Основной!$C$28)/118*18)</f>
        <v>458639.02372881345</v>
      </c>
      <c r="L35" s="34">
        <f>(L36/118*18)-(($L$8+$L$9+$L$10+$M$8+$M$9+$N$8+$N$9+$O$8+$O$9+Основной!$C$29+Основной!$C$26+Основной!$C$28)/118*18)</f>
        <v>458639.02372881345</v>
      </c>
      <c r="M35" s="34">
        <f>(M36/118*18)-(($L$8+$L$9+$L$10+$M$8+$M$9+$N$8+$N$9+$O$8+$O$9+Основной!$C$29+Основной!$C$26+Основной!$C$28)/118*18)</f>
        <v>458639.02372881345</v>
      </c>
      <c r="N35" s="34">
        <f>(N36/118*18)-(($L$8+$L$9+$L$10+$M$8+$M$9+$N$8+$N$9+$O$8+$O$9+Основной!$C$29+Основной!$C$26+Основной!$C$28)/118*18)</f>
        <v>458639.02372881345</v>
      </c>
      <c r="O35" s="34">
        <f>N35</f>
        <v>458639.02372881345</v>
      </c>
      <c r="P35" s="34">
        <f t="shared" ref="P35:AK35" si="9">O35</f>
        <v>458639.02372881345</v>
      </c>
      <c r="Q35" s="34">
        <f t="shared" si="9"/>
        <v>458639.02372881345</v>
      </c>
      <c r="R35" s="34">
        <f t="shared" si="9"/>
        <v>458639.02372881345</v>
      </c>
      <c r="S35" s="34">
        <f t="shared" si="9"/>
        <v>458639.02372881345</v>
      </c>
      <c r="T35" s="34">
        <f t="shared" si="9"/>
        <v>458639.02372881345</v>
      </c>
      <c r="U35" s="34">
        <f t="shared" si="9"/>
        <v>458639.02372881345</v>
      </c>
      <c r="V35" s="34">
        <f t="shared" si="9"/>
        <v>458639.02372881345</v>
      </c>
      <c r="W35" s="34">
        <f t="shared" si="9"/>
        <v>458639.02372881345</v>
      </c>
      <c r="X35" s="34">
        <f t="shared" si="9"/>
        <v>458639.02372881345</v>
      </c>
      <c r="Y35" s="34">
        <f t="shared" si="9"/>
        <v>458639.02372881345</v>
      </c>
      <c r="Z35" s="34">
        <f t="shared" si="9"/>
        <v>458639.02372881345</v>
      </c>
      <c r="AA35" s="34">
        <f t="shared" si="9"/>
        <v>458639.02372881345</v>
      </c>
      <c r="AB35" s="34">
        <f t="shared" si="9"/>
        <v>458639.02372881345</v>
      </c>
      <c r="AC35" s="34">
        <f t="shared" si="9"/>
        <v>458639.02372881345</v>
      </c>
      <c r="AD35" s="34">
        <f t="shared" si="9"/>
        <v>458639.02372881345</v>
      </c>
      <c r="AE35" s="34">
        <f t="shared" si="9"/>
        <v>458639.02372881345</v>
      </c>
      <c r="AF35" s="34">
        <f t="shared" si="9"/>
        <v>458639.02372881345</v>
      </c>
      <c r="AG35" s="34">
        <f t="shared" si="9"/>
        <v>458639.02372881345</v>
      </c>
      <c r="AH35" s="34">
        <f t="shared" si="9"/>
        <v>458639.02372881345</v>
      </c>
      <c r="AI35" s="34">
        <f t="shared" si="9"/>
        <v>458639.02372881345</v>
      </c>
      <c r="AJ35" s="34">
        <f t="shared" si="9"/>
        <v>458639.02372881345</v>
      </c>
      <c r="AK35" s="34">
        <f t="shared" si="9"/>
        <v>458639.02372881345</v>
      </c>
    </row>
    <row r="36" spans="1:37">
      <c r="A36" s="21" t="s">
        <v>56</v>
      </c>
      <c r="B36" s="34">
        <f t="shared" ref="B36:N36" si="10">B23</f>
        <v>0</v>
      </c>
      <c r="C36" s="34">
        <f t="shared" si="10"/>
        <v>0</v>
      </c>
      <c r="D36" s="34">
        <f t="shared" si="10"/>
        <v>1194253.92</v>
      </c>
      <c r="E36" s="34">
        <f t="shared" si="10"/>
        <v>1476351.3599999994</v>
      </c>
      <c r="F36" s="34">
        <f t="shared" si="10"/>
        <v>2043031.6799999997</v>
      </c>
      <c r="G36" s="34">
        <f t="shared" si="10"/>
        <v>2838372.4799999986</v>
      </c>
      <c r="H36" s="34">
        <f t="shared" si="10"/>
        <v>3293207.9999999981</v>
      </c>
      <c r="I36" s="34">
        <f t="shared" si="10"/>
        <v>3405052.7999999989</v>
      </c>
      <c r="J36" s="34">
        <f t="shared" si="10"/>
        <v>3405052.7999999989</v>
      </c>
      <c r="K36" s="34">
        <f t="shared" si="10"/>
        <v>3405052.7999999989</v>
      </c>
      <c r="L36" s="34">
        <f t="shared" si="10"/>
        <v>3405052.7999999989</v>
      </c>
      <c r="M36" s="34">
        <f t="shared" si="10"/>
        <v>3405052.7999999989</v>
      </c>
      <c r="N36" s="34">
        <f t="shared" si="10"/>
        <v>3405052.7999999989</v>
      </c>
      <c r="O36" s="34">
        <f>N36</f>
        <v>3405052.7999999989</v>
      </c>
      <c r="P36" s="34">
        <f t="shared" ref="P36:AK36" si="11">O36</f>
        <v>3405052.7999999989</v>
      </c>
      <c r="Q36" s="34">
        <f t="shared" si="11"/>
        <v>3405052.7999999989</v>
      </c>
      <c r="R36" s="34">
        <f t="shared" si="11"/>
        <v>3405052.7999999989</v>
      </c>
      <c r="S36" s="34">
        <f t="shared" si="11"/>
        <v>3405052.7999999989</v>
      </c>
      <c r="T36" s="34">
        <f t="shared" si="11"/>
        <v>3405052.7999999989</v>
      </c>
      <c r="U36" s="34">
        <f t="shared" si="11"/>
        <v>3405052.7999999989</v>
      </c>
      <c r="V36" s="34">
        <f t="shared" si="11"/>
        <v>3405052.7999999989</v>
      </c>
      <c r="W36" s="34">
        <f t="shared" si="11"/>
        <v>3405052.7999999989</v>
      </c>
      <c r="X36" s="34">
        <f t="shared" si="11"/>
        <v>3405052.7999999989</v>
      </c>
      <c r="Y36" s="34">
        <f t="shared" si="11"/>
        <v>3405052.7999999989</v>
      </c>
      <c r="Z36" s="34">
        <f t="shared" si="11"/>
        <v>3405052.7999999989</v>
      </c>
      <c r="AA36" s="34">
        <f t="shared" si="11"/>
        <v>3405052.7999999989</v>
      </c>
      <c r="AB36" s="34">
        <f t="shared" si="11"/>
        <v>3405052.7999999989</v>
      </c>
      <c r="AC36" s="34">
        <f t="shared" si="11"/>
        <v>3405052.7999999989</v>
      </c>
      <c r="AD36" s="34">
        <f t="shared" si="11"/>
        <v>3405052.7999999989</v>
      </c>
      <c r="AE36" s="34">
        <f t="shared" si="11"/>
        <v>3405052.7999999989</v>
      </c>
      <c r="AF36" s="34">
        <f t="shared" si="11"/>
        <v>3405052.7999999989</v>
      </c>
      <c r="AG36" s="34">
        <f t="shared" si="11"/>
        <v>3405052.7999999989</v>
      </c>
      <c r="AH36" s="34">
        <f t="shared" si="11"/>
        <v>3405052.7999999989</v>
      </c>
      <c r="AI36" s="34">
        <f t="shared" si="11"/>
        <v>3405052.7999999989</v>
      </c>
      <c r="AJ36" s="34">
        <f t="shared" si="11"/>
        <v>3405052.7999999989</v>
      </c>
      <c r="AK36" s="34">
        <f t="shared" si="11"/>
        <v>3405052.7999999989</v>
      </c>
    </row>
    <row r="37" spans="1:37">
      <c r="A37" s="21" t="s">
        <v>62</v>
      </c>
      <c r="B37" s="34">
        <f>0</f>
        <v>0</v>
      </c>
      <c r="C37" s="34">
        <v>0</v>
      </c>
      <c r="D37" s="34">
        <f>D36-D33-D34-D35</f>
        <v>13573.328389830494</v>
      </c>
      <c r="E37" s="34">
        <f t="shared" ref="E37:M37" si="12">E36-E33-E34-E35</f>
        <v>178258.45550847414</v>
      </c>
      <c r="F37" s="34">
        <f t="shared" si="12"/>
        <v>544704.51483050827</v>
      </c>
      <c r="G37" s="34">
        <f t="shared" si="12"/>
        <v>1087389.6419491514</v>
      </c>
      <c r="H37" s="34">
        <f t="shared" si="12"/>
        <v>1402791.9724576254</v>
      </c>
      <c r="I37" s="34">
        <f t="shared" si="12"/>
        <v>1453835.7012711854</v>
      </c>
      <c r="J37" s="34">
        <f t="shared" si="12"/>
        <v>1453835.7012711854</v>
      </c>
      <c r="K37" s="34">
        <f t="shared" si="12"/>
        <v>1453835.7012711854</v>
      </c>
      <c r="L37" s="34">
        <f t="shared" si="12"/>
        <v>1453835.7012711854</v>
      </c>
      <c r="M37" s="34">
        <f t="shared" si="12"/>
        <v>1453835.7012711854</v>
      </c>
      <c r="N37" s="34">
        <f>N36-N33-N34-N35</f>
        <v>1453835.7012711854</v>
      </c>
      <c r="O37" s="34">
        <f>N37</f>
        <v>1453835.7012711854</v>
      </c>
      <c r="P37" s="34">
        <f t="shared" ref="P37:AK37" si="13">O37</f>
        <v>1453835.7012711854</v>
      </c>
      <c r="Q37" s="34">
        <f t="shared" si="13"/>
        <v>1453835.7012711854</v>
      </c>
      <c r="R37" s="34">
        <f t="shared" si="13"/>
        <v>1453835.7012711854</v>
      </c>
      <c r="S37" s="34">
        <f t="shared" si="13"/>
        <v>1453835.7012711854</v>
      </c>
      <c r="T37" s="34">
        <f t="shared" si="13"/>
        <v>1453835.7012711854</v>
      </c>
      <c r="U37" s="34">
        <f t="shared" si="13"/>
        <v>1453835.7012711854</v>
      </c>
      <c r="V37" s="34">
        <f t="shared" si="13"/>
        <v>1453835.7012711854</v>
      </c>
      <c r="W37" s="34">
        <f t="shared" si="13"/>
        <v>1453835.7012711854</v>
      </c>
      <c r="X37" s="34">
        <f t="shared" si="13"/>
        <v>1453835.7012711854</v>
      </c>
      <c r="Y37" s="34">
        <f t="shared" si="13"/>
        <v>1453835.7012711854</v>
      </c>
      <c r="Z37" s="34">
        <f t="shared" si="13"/>
        <v>1453835.7012711854</v>
      </c>
      <c r="AA37" s="34">
        <f t="shared" si="13"/>
        <v>1453835.7012711854</v>
      </c>
      <c r="AB37" s="34">
        <f t="shared" si="13"/>
        <v>1453835.7012711854</v>
      </c>
      <c r="AC37" s="34">
        <f t="shared" si="13"/>
        <v>1453835.7012711854</v>
      </c>
      <c r="AD37" s="34">
        <f t="shared" si="13"/>
        <v>1453835.7012711854</v>
      </c>
      <c r="AE37" s="34">
        <f t="shared" si="13"/>
        <v>1453835.7012711854</v>
      </c>
      <c r="AF37" s="34">
        <f t="shared" si="13"/>
        <v>1453835.7012711854</v>
      </c>
      <c r="AG37" s="34">
        <f t="shared" si="13"/>
        <v>1453835.7012711854</v>
      </c>
      <c r="AH37" s="34">
        <f t="shared" si="13"/>
        <v>1453835.7012711854</v>
      </c>
      <c r="AI37" s="34">
        <f t="shared" si="13"/>
        <v>1453835.7012711854</v>
      </c>
      <c r="AJ37" s="34">
        <f t="shared" si="13"/>
        <v>1453835.7012711854</v>
      </c>
      <c r="AK37" s="34">
        <f t="shared" si="13"/>
        <v>1453835.7012711854</v>
      </c>
    </row>
    <row r="38" spans="1:37">
      <c r="A38" s="21" t="s">
        <v>63</v>
      </c>
      <c r="B38" s="34">
        <v>0</v>
      </c>
      <c r="C38" s="34">
        <v>0</v>
      </c>
      <c r="D38" s="34">
        <f>IF(D37&gt;0,D37*0.8,D37)</f>
        <v>10858.662711864396</v>
      </c>
      <c r="E38" s="34">
        <f t="shared" ref="E38:N38" si="14">IF(E37&gt;0,E37*0.8,E37)</f>
        <v>142606.76440677932</v>
      </c>
      <c r="F38" s="34">
        <f t="shared" si="14"/>
        <v>435763.61186440662</v>
      </c>
      <c r="G38" s="34">
        <f t="shared" si="14"/>
        <v>869911.71355932113</v>
      </c>
      <c r="H38" s="34">
        <f t="shared" si="14"/>
        <v>1122233.5779661003</v>
      </c>
      <c r="I38" s="34">
        <f t="shared" si="14"/>
        <v>1163068.5610169484</v>
      </c>
      <c r="J38" s="34">
        <f t="shared" si="14"/>
        <v>1163068.5610169484</v>
      </c>
      <c r="K38" s="34">
        <f t="shared" si="14"/>
        <v>1163068.5610169484</v>
      </c>
      <c r="L38" s="34">
        <f t="shared" si="14"/>
        <v>1163068.5610169484</v>
      </c>
      <c r="M38" s="34">
        <f t="shared" si="14"/>
        <v>1163068.5610169484</v>
      </c>
      <c r="N38" s="34">
        <f t="shared" si="14"/>
        <v>1163068.5610169484</v>
      </c>
      <c r="O38" s="34">
        <f>N38</f>
        <v>1163068.5610169484</v>
      </c>
      <c r="P38" s="34">
        <f t="shared" ref="P38:AK39" si="15">O38</f>
        <v>1163068.5610169484</v>
      </c>
      <c r="Q38" s="34">
        <f t="shared" si="15"/>
        <v>1163068.5610169484</v>
      </c>
      <c r="R38" s="34">
        <f t="shared" si="15"/>
        <v>1163068.5610169484</v>
      </c>
      <c r="S38" s="34">
        <f t="shared" si="15"/>
        <v>1163068.5610169484</v>
      </c>
      <c r="T38" s="34">
        <f t="shared" si="15"/>
        <v>1163068.5610169484</v>
      </c>
      <c r="U38" s="34">
        <f t="shared" si="15"/>
        <v>1163068.5610169484</v>
      </c>
      <c r="V38" s="34">
        <f t="shared" si="15"/>
        <v>1163068.5610169484</v>
      </c>
      <c r="W38" s="34">
        <f t="shared" si="15"/>
        <v>1163068.5610169484</v>
      </c>
      <c r="X38" s="34">
        <f t="shared" si="15"/>
        <v>1163068.5610169484</v>
      </c>
      <c r="Y38" s="34">
        <f t="shared" si="15"/>
        <v>1163068.5610169484</v>
      </c>
      <c r="Z38" s="34">
        <f t="shared" si="15"/>
        <v>1163068.5610169484</v>
      </c>
      <c r="AA38" s="34">
        <f t="shared" si="15"/>
        <v>1163068.5610169484</v>
      </c>
      <c r="AB38" s="34">
        <f t="shared" si="15"/>
        <v>1163068.5610169484</v>
      </c>
      <c r="AC38" s="34">
        <f t="shared" si="15"/>
        <v>1163068.5610169484</v>
      </c>
      <c r="AD38" s="34">
        <f t="shared" si="15"/>
        <v>1163068.5610169484</v>
      </c>
      <c r="AE38" s="34">
        <f t="shared" si="15"/>
        <v>1163068.5610169484</v>
      </c>
      <c r="AF38" s="34">
        <f t="shared" si="15"/>
        <v>1163068.5610169484</v>
      </c>
      <c r="AG38" s="34">
        <f t="shared" si="15"/>
        <v>1163068.5610169484</v>
      </c>
      <c r="AH38" s="34">
        <f t="shared" si="15"/>
        <v>1163068.5610169484</v>
      </c>
      <c r="AI38" s="34">
        <f t="shared" si="15"/>
        <v>1163068.5610169484</v>
      </c>
      <c r="AJ38" s="34">
        <f t="shared" si="15"/>
        <v>1163068.5610169484</v>
      </c>
      <c r="AK38" s="34">
        <f t="shared" si="15"/>
        <v>1163068.5610169484</v>
      </c>
    </row>
    <row r="39" spans="1:37">
      <c r="A39" s="21" t="s">
        <v>64</v>
      </c>
      <c r="B39" s="34">
        <f>Основной!$C$6</f>
        <v>16100288</v>
      </c>
      <c r="C39" s="34">
        <f>Основной!$C$6</f>
        <v>16100288</v>
      </c>
      <c r="D39" s="34">
        <f>Основной!$C$6</f>
        <v>16100288</v>
      </c>
      <c r="E39" s="34">
        <f>Основной!$C$6</f>
        <v>16100288</v>
      </c>
      <c r="F39" s="34">
        <f>Основной!$C$6</f>
        <v>16100288</v>
      </c>
      <c r="G39" s="34">
        <f>Основной!$C$6</f>
        <v>16100288</v>
      </c>
      <c r="H39" s="34">
        <f>Основной!$C$6</f>
        <v>16100288</v>
      </c>
      <c r="I39" s="34">
        <f>Основной!$C$6</f>
        <v>16100288</v>
      </c>
      <c r="J39" s="34">
        <f>Основной!$C$6</f>
        <v>16100288</v>
      </c>
      <c r="K39" s="34">
        <f>Основной!$C$6</f>
        <v>16100288</v>
      </c>
      <c r="L39" s="34">
        <f>Основной!$C$6</f>
        <v>16100288</v>
      </c>
      <c r="M39" s="34">
        <f>Основной!$C$6</f>
        <v>16100288</v>
      </c>
      <c r="N39" s="34">
        <f>Основной!$C$6</f>
        <v>16100288</v>
      </c>
      <c r="O39" s="34">
        <f>N39</f>
        <v>16100288</v>
      </c>
      <c r="P39" s="34">
        <f t="shared" si="15"/>
        <v>16100288</v>
      </c>
      <c r="Q39" s="34">
        <f t="shared" si="15"/>
        <v>16100288</v>
      </c>
      <c r="R39" s="34">
        <f t="shared" si="15"/>
        <v>16100288</v>
      </c>
      <c r="S39" s="34">
        <f t="shared" si="15"/>
        <v>16100288</v>
      </c>
      <c r="T39" s="34">
        <f t="shared" si="15"/>
        <v>16100288</v>
      </c>
      <c r="U39" s="34">
        <f t="shared" si="15"/>
        <v>16100288</v>
      </c>
      <c r="V39" s="34">
        <f t="shared" si="15"/>
        <v>16100288</v>
      </c>
      <c r="W39" s="34">
        <f t="shared" si="15"/>
        <v>16100288</v>
      </c>
      <c r="X39" s="34">
        <f t="shared" si="15"/>
        <v>16100288</v>
      </c>
      <c r="Y39" s="34">
        <f t="shared" si="15"/>
        <v>16100288</v>
      </c>
      <c r="Z39" s="34">
        <f t="shared" si="15"/>
        <v>16100288</v>
      </c>
      <c r="AA39" s="34">
        <f t="shared" si="15"/>
        <v>16100288</v>
      </c>
      <c r="AB39" s="34">
        <f t="shared" si="15"/>
        <v>16100288</v>
      </c>
      <c r="AC39" s="34">
        <f t="shared" si="15"/>
        <v>16100288</v>
      </c>
      <c r="AD39" s="34">
        <f t="shared" si="15"/>
        <v>16100288</v>
      </c>
      <c r="AE39" s="34">
        <f t="shared" si="15"/>
        <v>16100288</v>
      </c>
      <c r="AF39" s="34">
        <f t="shared" si="15"/>
        <v>16100288</v>
      </c>
      <c r="AG39" s="34">
        <f t="shared" si="15"/>
        <v>16100288</v>
      </c>
      <c r="AH39" s="34">
        <f t="shared" si="15"/>
        <v>16100288</v>
      </c>
      <c r="AI39" s="34">
        <f t="shared" si="15"/>
        <v>16100288</v>
      </c>
      <c r="AJ39" s="34">
        <f t="shared" si="15"/>
        <v>16100288</v>
      </c>
      <c r="AK39" s="34">
        <f t="shared" si="15"/>
        <v>16100288</v>
      </c>
    </row>
    <row r="40" spans="1:37">
      <c r="A40" s="21" t="s">
        <v>65</v>
      </c>
      <c r="B40" s="34">
        <f>0-B39+B38</f>
        <v>-16100288</v>
      </c>
      <c r="C40" s="34">
        <f>B40+C38</f>
        <v>-16100288</v>
      </c>
      <c r="D40" s="34">
        <f t="shared" ref="D40:N40" si="16">C40+D38</f>
        <v>-16089429.337288136</v>
      </c>
      <c r="E40" s="34">
        <f t="shared" si="16"/>
        <v>-15946822.572881356</v>
      </c>
      <c r="F40" s="34">
        <f t="shared" si="16"/>
        <v>-15511058.961016949</v>
      </c>
      <c r="G40" s="34">
        <f t="shared" si="16"/>
        <v>-14641147.247457627</v>
      </c>
      <c r="H40" s="34">
        <f t="shared" si="16"/>
        <v>-13518913.669491528</v>
      </c>
      <c r="I40" s="34">
        <f t="shared" si="16"/>
        <v>-12355845.108474579</v>
      </c>
      <c r="J40" s="34">
        <f t="shared" si="16"/>
        <v>-11192776.54745763</v>
      </c>
      <c r="K40" s="34">
        <f t="shared" si="16"/>
        <v>-10029707.986440681</v>
      </c>
      <c r="L40" s="34">
        <f t="shared" si="16"/>
        <v>-8866639.425423732</v>
      </c>
      <c r="M40" s="34">
        <f t="shared" si="16"/>
        <v>-7703570.8644067831</v>
      </c>
      <c r="N40" s="34">
        <f t="shared" si="16"/>
        <v>-6540502.3033898342</v>
      </c>
      <c r="O40" s="34">
        <f t="shared" ref="O40:AK40" si="17">N40+O38</f>
        <v>-5377433.7423728853</v>
      </c>
      <c r="P40" s="34">
        <f t="shared" si="17"/>
        <v>-4214365.1813559365</v>
      </c>
      <c r="Q40" s="34">
        <f t="shared" si="17"/>
        <v>-3051296.620338988</v>
      </c>
      <c r="R40" s="34">
        <f t="shared" si="17"/>
        <v>-1888228.0593220396</v>
      </c>
      <c r="S40" s="34">
        <f t="shared" si="17"/>
        <v>-725159.49830509117</v>
      </c>
      <c r="T40" s="34">
        <f t="shared" si="17"/>
        <v>437909.06271185726</v>
      </c>
      <c r="U40" s="34">
        <f t="shared" si="17"/>
        <v>1600977.6237288057</v>
      </c>
      <c r="V40" s="34">
        <f t="shared" si="17"/>
        <v>2764046.1847457541</v>
      </c>
      <c r="W40" s="34">
        <f t="shared" si="17"/>
        <v>3927114.7457627025</v>
      </c>
      <c r="X40" s="34">
        <f t="shared" si="17"/>
        <v>5090183.306779651</v>
      </c>
      <c r="Y40" s="34">
        <f t="shared" si="17"/>
        <v>6253251.8677965999</v>
      </c>
      <c r="Z40" s="34">
        <f t="shared" si="17"/>
        <v>7416320.4288135488</v>
      </c>
      <c r="AA40" s="34">
        <f t="shared" si="17"/>
        <v>8579388.9898304977</v>
      </c>
      <c r="AB40" s="34">
        <f t="shared" si="17"/>
        <v>9742457.5508474465</v>
      </c>
      <c r="AC40" s="34">
        <f t="shared" si="17"/>
        <v>10905526.111864395</v>
      </c>
      <c r="AD40" s="34">
        <f t="shared" si="17"/>
        <v>12068594.672881344</v>
      </c>
      <c r="AE40" s="34">
        <f t="shared" si="17"/>
        <v>13231663.233898293</v>
      </c>
      <c r="AF40" s="34">
        <f t="shared" si="17"/>
        <v>14394731.794915242</v>
      </c>
      <c r="AG40" s="34">
        <f t="shared" si="17"/>
        <v>15557800.355932191</v>
      </c>
      <c r="AH40" s="34">
        <f t="shared" si="17"/>
        <v>16720868.91694914</v>
      </c>
      <c r="AI40" s="34">
        <f t="shared" si="17"/>
        <v>17883937.477966089</v>
      </c>
      <c r="AJ40" s="34">
        <f t="shared" si="17"/>
        <v>19047006.038983036</v>
      </c>
      <c r="AK40" s="34">
        <f t="shared" si="17"/>
        <v>20210074.599999983</v>
      </c>
    </row>
    <row r="41" spans="1:37" ht="15.75">
      <c r="A41" s="100" t="s">
        <v>66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2"/>
      <c r="N41" s="64">
        <f>IF(M40&lt;0,ROUNDUP(-M40/N38+12,0),12-COUNTIF(B40:M40,"&gt;0")+1)</f>
        <v>19</v>
      </c>
    </row>
    <row r="42" spans="1:37">
      <c r="N42" s="24"/>
    </row>
    <row r="45" spans="1:37">
      <c r="A45" s="95" t="s">
        <v>84</v>
      </c>
      <c r="B45" s="96"/>
      <c r="C45" s="96"/>
      <c r="D45" s="96"/>
      <c r="E45" s="97"/>
    </row>
    <row r="46" spans="1:37">
      <c r="A46" s="2" t="s">
        <v>80</v>
      </c>
      <c r="B46" s="2">
        <v>0</v>
      </c>
      <c r="C46" s="2">
        <v>1</v>
      </c>
      <c r="D46" s="2">
        <v>2</v>
      </c>
      <c r="E46" s="2">
        <v>3</v>
      </c>
    </row>
    <row r="47" spans="1:37">
      <c r="A47" s="2" t="s">
        <v>81</v>
      </c>
      <c r="B47" s="30">
        <f>B40</f>
        <v>-16100288</v>
      </c>
      <c r="C47" s="30">
        <f>SUM(B38:M38)</f>
        <v>8396717.135593215</v>
      </c>
      <c r="D47" s="30">
        <f>SUM(N38:Y38)</f>
        <v>13956822.732203385</v>
      </c>
      <c r="E47" s="30">
        <f>SUM(Z38:AK38)</f>
        <v>13956822.732203385</v>
      </c>
    </row>
    <row r="48" spans="1:37" s="1" customFormat="1">
      <c r="A48" s="2" t="s">
        <v>88</v>
      </c>
      <c r="B48" s="27">
        <v>0.08</v>
      </c>
      <c r="C48" s="3"/>
      <c r="D48" s="3"/>
      <c r="E48" s="3"/>
    </row>
    <row r="49" spans="1:38">
      <c r="A49" s="2" t="s">
        <v>89</v>
      </c>
      <c r="B49" s="2"/>
      <c r="C49" s="2">
        <f>POWER(1+B48,C46)</f>
        <v>1.08</v>
      </c>
      <c r="D49" s="25">
        <f>POWER(C49,D46)</f>
        <v>1.1664000000000001</v>
      </c>
      <c r="E49" s="25">
        <f>POWER($C$49,E46)</f>
        <v>1.2597120000000002</v>
      </c>
    </row>
    <row r="50" spans="1:38">
      <c r="A50" s="2" t="s">
        <v>82</v>
      </c>
      <c r="B50" s="2"/>
      <c r="C50" s="2">
        <f>1/C49</f>
        <v>0.92592592592592582</v>
      </c>
      <c r="D50" s="2">
        <f>1/D49</f>
        <v>0.85733882030178321</v>
      </c>
      <c r="E50" s="2">
        <f>1/E49</f>
        <v>0.79383224102016958</v>
      </c>
    </row>
    <row r="51" spans="1:38">
      <c r="A51" s="2" t="s">
        <v>83</v>
      </c>
      <c r="B51" s="2"/>
      <c r="C51" s="30">
        <f>C47*C50</f>
        <v>7774738.0885122353</v>
      </c>
      <c r="D51" s="30">
        <f>D47*D50</f>
        <v>11965725.93638836</v>
      </c>
      <c r="E51" s="30">
        <f>E47*E50</f>
        <v>11079375.867026258</v>
      </c>
    </row>
    <row r="52" spans="1:38">
      <c r="A52" s="2" t="s">
        <v>84</v>
      </c>
      <c r="B52" s="2"/>
      <c r="C52" s="30">
        <f>B47+C51</f>
        <v>-8325549.9114877647</v>
      </c>
      <c r="D52" s="30">
        <f>B47+C51+D51</f>
        <v>3640176.0249005957</v>
      </c>
      <c r="E52" s="30">
        <f>B47+C51+D51+E51</f>
        <v>14719551.891926855</v>
      </c>
    </row>
    <row r="53" spans="1:38">
      <c r="A53" s="4" t="s">
        <v>90</v>
      </c>
      <c r="B53" s="2"/>
      <c r="C53" s="28" t="e">
        <f>IRR(B47:C47)</f>
        <v>#NUM!</v>
      </c>
      <c r="D53" s="28">
        <f>IRR(B47:D47)</f>
        <v>0.22764722683771707</v>
      </c>
      <c r="E53" s="28">
        <f>IRR(B47:E47)</f>
        <v>0.49197586942023863</v>
      </c>
    </row>
    <row r="54" spans="1:38">
      <c r="A54" s="29" t="s">
        <v>79</v>
      </c>
      <c r="B54" s="18">
        <f>COUNTIF(C52:E52,"&lt;0")+1</f>
        <v>2</v>
      </c>
    </row>
    <row r="55" spans="1:38">
      <c r="B55" s="24"/>
      <c r="C55" s="24"/>
      <c r="D55" s="24"/>
      <c r="E55" s="26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8" s="1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</sheetData>
  <mergeCells count="18">
    <mergeCell ref="F7:H7"/>
    <mergeCell ref="F12:T12"/>
    <mergeCell ref="F13:H13"/>
    <mergeCell ref="F14:H14"/>
    <mergeCell ref="F15:H15"/>
    <mergeCell ref="A45:E45"/>
    <mergeCell ref="K2:M2"/>
    <mergeCell ref="F2:H2"/>
    <mergeCell ref="A30:AK30"/>
    <mergeCell ref="A41:M41"/>
    <mergeCell ref="A17:N17"/>
    <mergeCell ref="A25:N25"/>
    <mergeCell ref="F3:G3"/>
    <mergeCell ref="F4:G4"/>
    <mergeCell ref="F5:G5"/>
    <mergeCell ref="F8:H8"/>
    <mergeCell ref="F9:H9"/>
    <mergeCell ref="F10:H10"/>
  </mergeCells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</vt:lpstr>
      <vt:lpstr>Справочные 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2018-03-30T14:25:04Z</dcterms:modified>
</cp:coreProperties>
</file>