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800" activeTab="0"/>
  </bookViews>
  <sheets>
    <sheet name="Франчайзи" sheetId="1" r:id="rId1"/>
  </sheets>
  <definedNames>
    <definedName name="ПВ" localSheetId="0">'Франчайзи'!$BZ$41:$BZ$43</definedName>
    <definedName name="ПВ">#REF!</definedName>
  </definedNames>
  <calcPr fullCalcOnLoad="1" refMode="R1C1"/>
</workbook>
</file>

<file path=xl/comments1.xml><?xml version="1.0" encoding="utf-8"?>
<comments xmlns="http://schemas.openxmlformats.org/spreadsheetml/2006/main">
  <authors>
    <author>AlteraSPB-81</author>
  </authors>
  <commentList>
    <comment ref="C40" authorId="0">
      <text>
        <r>
          <rPr>
            <b/>
            <sz val="9"/>
            <rFont val="Tahoma"/>
            <family val="2"/>
          </rPr>
          <t>AlteraSPB-81:</t>
        </r>
        <r>
          <rPr>
            <sz val="9"/>
            <rFont val="Tahoma"/>
            <family val="2"/>
          </rPr>
          <t xml:space="preserve">
для 3-го формата выгоднее патент. Для первого енвд. Для второго одинаково</t>
        </r>
      </text>
    </comment>
  </commentList>
</comments>
</file>

<file path=xl/sharedStrings.xml><?xml version="1.0" encoding="utf-8"?>
<sst xmlns="http://schemas.openxmlformats.org/spreadsheetml/2006/main" count="200" uniqueCount="141">
  <si>
    <t>1.1.</t>
  </si>
  <si>
    <t>1.2.</t>
  </si>
  <si>
    <t>2.</t>
  </si>
  <si>
    <t>Переменные расходы, в т.ч.</t>
  </si>
  <si>
    <t>2.1.</t>
  </si>
  <si>
    <t>Себестоимость товаров</t>
  </si>
  <si>
    <t>2.2.</t>
  </si>
  <si>
    <t>Маржинальная прибыль</t>
  </si>
  <si>
    <t>3.</t>
  </si>
  <si>
    <t>Постоянные расходы, в т.ч.</t>
  </si>
  <si>
    <t>3.1.</t>
  </si>
  <si>
    <t>3.1.1.</t>
  </si>
  <si>
    <t>3.1.2.</t>
  </si>
  <si>
    <t>3.2.</t>
  </si>
  <si>
    <t>содержание помещения, в т.ч.</t>
  </si>
  <si>
    <t>3.2.1.</t>
  </si>
  <si>
    <t>аренда</t>
  </si>
  <si>
    <t>3.2.2.</t>
  </si>
  <si>
    <t>3.2.3.</t>
  </si>
  <si>
    <t>3.3.</t>
  </si>
  <si>
    <t>услуги сторонних компаний, в т.ч.</t>
  </si>
  <si>
    <t>3.3.1.</t>
  </si>
  <si>
    <t>бух.учет</t>
  </si>
  <si>
    <t>3.3.2.</t>
  </si>
  <si>
    <t>3.3.3.</t>
  </si>
  <si>
    <t>3.3.4.</t>
  </si>
  <si>
    <t>3.3.5.</t>
  </si>
  <si>
    <t>3.4.</t>
  </si>
  <si>
    <t>3.5.</t>
  </si>
  <si>
    <t>Обслуживание франшизы, в т.ч.</t>
  </si>
  <si>
    <t>3.5.1.</t>
  </si>
  <si>
    <t>3.5.2.</t>
  </si>
  <si>
    <t>налоги, в т.ч.</t>
  </si>
  <si>
    <t>кол-во</t>
  </si>
  <si>
    <t>ставка</t>
  </si>
  <si>
    <t>ИТОГО</t>
  </si>
  <si>
    <t>1 ГОД</t>
  </si>
  <si>
    <t>1 год</t>
  </si>
  <si>
    <t>Прибыль до налогов</t>
  </si>
  <si>
    <t>2 ГОД</t>
  </si>
  <si>
    <t>май</t>
  </si>
  <si>
    <t>2 год</t>
  </si>
  <si>
    <t>3 год</t>
  </si>
  <si>
    <t>рентабельность инвестиций</t>
  </si>
  <si>
    <t>Финансовая модель</t>
  </si>
  <si>
    <t>ДОХОДЫ И РАСХОДЫ</t>
  </si>
  <si>
    <t>ИСХОДНЫЕ ДАННЫЕ</t>
  </si>
  <si>
    <t>нет</t>
  </si>
  <si>
    <t>месяц</t>
  </si>
  <si>
    <t>Изменению подлежат только выделенные ячейки</t>
  </si>
  <si>
    <t>Сезонность</t>
  </si>
  <si>
    <t>3 ГОД</t>
  </si>
  <si>
    <t>ФОРМАТ</t>
  </si>
  <si>
    <t>формат</t>
  </si>
  <si>
    <t>Уровень загрузки</t>
  </si>
  <si>
    <t>месяц начала деятельности</t>
  </si>
  <si>
    <t>ноя</t>
  </si>
  <si>
    <t>1. Выручка, в т.ч.</t>
  </si>
  <si>
    <t>1. ПРОДАЖИ</t>
  </si>
  <si>
    <t>ср чек</t>
  </si>
  <si>
    <t>руб.</t>
  </si>
  <si>
    <t>2. ПЕРЕМЕННЫЕ РАСХОДЫ</t>
  </si>
  <si>
    <t>стандарт</t>
  </si>
  <si>
    <t>янв</t>
  </si>
  <si>
    <t>% от выручки</t>
  </si>
  <si>
    <t>фев</t>
  </si>
  <si>
    <t>мар</t>
  </si>
  <si>
    <t>апр</t>
  </si>
  <si>
    <t>Расходы на персонал, в т.ч.</t>
  </si>
  <si>
    <t>3. ПОСТОЯННЫЕ РАСХОДЫ</t>
  </si>
  <si>
    <t>июн</t>
  </si>
  <si>
    <t>июл</t>
  </si>
  <si>
    <t>Отчисления с  ФОТ</t>
  </si>
  <si>
    <t>авг</t>
  </si>
  <si>
    <t>сен</t>
  </si>
  <si>
    <t>окт</t>
  </si>
  <si>
    <t>КУ</t>
  </si>
  <si>
    <t>м.кв.</t>
  </si>
  <si>
    <t>дек</t>
  </si>
  <si>
    <t>руб. в мес</t>
  </si>
  <si>
    <t>эквайринг (оплата по безналу)</t>
  </si>
  <si>
    <t>интернет и связь</t>
  </si>
  <si>
    <t>% оплат б/н</t>
  </si>
  <si>
    <t>Маркетинг и продвижение (реклама)</t>
  </si>
  <si>
    <t>маркетинговый взнос</t>
  </si>
  <si>
    <t>4. Прибыль от продаж</t>
  </si>
  <si>
    <t>5.</t>
  </si>
  <si>
    <t>Платежи по кредитам и займам</t>
  </si>
  <si>
    <t>6.</t>
  </si>
  <si>
    <t>4. НАЛОГИ</t>
  </si>
  <si>
    <t>7.</t>
  </si>
  <si>
    <t>7.1.</t>
  </si>
  <si>
    <t>8. Чистая прибыль</t>
  </si>
  <si>
    <t>Накопленная чистая прибыль</t>
  </si>
  <si>
    <t>Инвестиции</t>
  </si>
  <si>
    <t>Инвестиции франчайзи</t>
  </si>
  <si>
    <t>Паушальный взнос</t>
  </si>
  <si>
    <t xml:space="preserve">Открытие </t>
  </si>
  <si>
    <t>аренда+залог</t>
  </si>
  <si>
    <t>в первый год</t>
  </si>
  <si>
    <t>Доставка</t>
  </si>
  <si>
    <t>% от себестоимости</t>
  </si>
  <si>
    <t>клиентов в месяц</t>
  </si>
  <si>
    <t>3.1.3.</t>
  </si>
  <si>
    <t>3.1.4.</t>
  </si>
  <si>
    <t>банковское обслуживание (р/с)</t>
  </si>
  <si>
    <t>ПСН</t>
  </si>
  <si>
    <t>2.2.1.</t>
  </si>
  <si>
    <t>2.2.2.</t>
  </si>
  <si>
    <t xml:space="preserve">Ремонт и пошив швейных, меховых и кожаных изделий, головных уборов и изделий из текстильной галантереи, ремонт,пошив и вязание трикотажных изделий </t>
  </si>
  <si>
    <t>Вывеска</t>
  </si>
  <si>
    <t>сумки, кошельки, обувь</t>
  </si>
  <si>
    <t>Продажа сумок, кошельков, обуви</t>
  </si>
  <si>
    <t>Продажа украшений</t>
  </si>
  <si>
    <t>Бутик 20-70 кв.м.</t>
  </si>
  <si>
    <t>Бутик более 70 кв.м.</t>
  </si>
  <si>
    <t>Остров</t>
  </si>
  <si>
    <t xml:space="preserve">Первоначальная  закупка </t>
  </si>
  <si>
    <t>ставка за кв.м.</t>
  </si>
  <si>
    <t>Взносы ИП "за себя"</t>
  </si>
  <si>
    <t>расходные материалы (канцелярия, чай/кофе для клиентов, цветы в офис)</t>
  </si>
  <si>
    <t>3.3.6.</t>
  </si>
  <si>
    <t>уборка, охрана</t>
  </si>
  <si>
    <t>ЗП продавцов-консультантов</t>
  </si>
  <si>
    <t>ЗП администратора</t>
  </si>
  <si>
    <t>ЕНВД</t>
  </si>
  <si>
    <t>К1</t>
  </si>
  <si>
    <t>К2</t>
  </si>
  <si>
    <t>ставка налога</t>
  </si>
  <si>
    <t>база</t>
  </si>
  <si>
    <t>на кв.м.</t>
  </si>
  <si>
    <t>ремонт помещения</t>
  </si>
  <si>
    <t>Оборудование</t>
  </si>
  <si>
    <t>Реклама</t>
  </si>
  <si>
    <t>Оборотные средства (включая зп сотрудников)</t>
  </si>
  <si>
    <t>Регистрация ИП/ООО, печать, р/c</t>
  </si>
  <si>
    <t>Доставка от франчайзера до франчайзи</t>
  </si>
  <si>
    <t>CRM и 1С</t>
  </si>
  <si>
    <t>CRM, 1С</t>
  </si>
  <si>
    <t>роялти</t>
  </si>
  <si>
    <t>Украшения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</si>
</sst>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00"/>
    <numFmt numFmtId="166" formatCode="_-* #,##0.00_р_._-;\-* #,##0.00_р_._-;_-* &quot;-&quot;??_р_._-;_-@_-"/>
    <numFmt numFmtId="167" formatCode="_-* #,##0_р_._-;\-* #,##0_р_._-;_-* &quot;-&quot;??_р_._-;_-@_-"/>
    <numFmt numFmtId="168" formatCode="_-* #,##0\ _₽_-;\-* #,##0\ _₽_-;_-* &quot;-&quot;??\ _₽_-;_-@_-"/>
    <numFmt numFmtId="169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b/>
      <sz val="11"/>
      <color indexed="8"/>
      <name val="Calibri"/>
      <family val="2"/>
    </font>
    <font>
      <i/>
      <sz val="11"/>
      <color indexed="59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36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22007"/>
      <name val="Calibri"/>
      <family val="2"/>
    </font>
    <font>
      <b/>
      <sz val="11"/>
      <color rgb="FF422007"/>
      <name val="Calibri"/>
      <family val="2"/>
    </font>
    <font>
      <i/>
      <sz val="11"/>
      <color rgb="FF422007"/>
      <name val="Calibri"/>
      <family val="2"/>
    </font>
    <font>
      <b/>
      <sz val="11"/>
      <color rgb="FFFF0000"/>
      <name val="Calibri"/>
      <family val="2"/>
    </font>
    <font>
      <sz val="11"/>
      <color rgb="FF3D3D3D"/>
      <name val="Calibri"/>
      <family val="2"/>
    </font>
    <font>
      <b/>
      <sz val="11"/>
      <color rgb="FF3D3D3D"/>
      <name val="Calibri"/>
      <family val="2"/>
    </font>
    <font>
      <b/>
      <sz val="36"/>
      <color rgb="FF4C4C4C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C4C4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rgb="FF4C4C4C"/>
      </bottom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7" fillId="33" borderId="1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right"/>
    </xf>
    <xf numFmtId="0" fontId="48" fillId="33" borderId="11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38" fillId="35" borderId="0" xfId="0" applyFont="1" applyFill="1" applyAlignment="1">
      <alignment horizontal="right"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Alignment="1">
      <alignment/>
    </xf>
    <xf numFmtId="0" fontId="38" fillId="34" borderId="0" xfId="0" applyFont="1" applyFill="1" applyAlignment="1">
      <alignment/>
    </xf>
    <xf numFmtId="3" fontId="38" fillId="34" borderId="0" xfId="0" applyNumberFormat="1" applyFont="1" applyFill="1" applyAlignment="1">
      <alignment/>
    </xf>
    <xf numFmtId="3" fontId="39" fillId="34" borderId="0" xfId="0" applyNumberFormat="1" applyFont="1" applyFill="1" applyAlignment="1">
      <alignment/>
    </xf>
    <xf numFmtId="3" fontId="39" fillId="34" borderId="0" xfId="0" applyNumberFormat="1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/>
    </xf>
    <xf numFmtId="165" fontId="48" fillId="34" borderId="0" xfId="0" applyNumberFormat="1" applyFont="1" applyFill="1" applyBorder="1" applyAlignment="1">
      <alignment/>
    </xf>
    <xf numFmtId="165" fontId="48" fillId="34" borderId="0" xfId="0" applyNumberFormat="1" applyFont="1" applyFill="1" applyBorder="1" applyAlignment="1">
      <alignment/>
    </xf>
    <xf numFmtId="165" fontId="49" fillId="34" borderId="0" xfId="0" applyNumberFormat="1" applyFont="1" applyFill="1" applyBorder="1" applyAlignment="1">
      <alignment/>
    </xf>
    <xf numFmtId="165" fontId="49" fillId="34" borderId="0" xfId="0" applyNumberFormat="1" applyFont="1" applyFill="1" applyBorder="1" applyAlignment="1">
      <alignment/>
    </xf>
    <xf numFmtId="167" fontId="4" fillId="33" borderId="0" xfId="61" applyNumberFormat="1" applyFont="1" applyFill="1" applyAlignment="1">
      <alignment/>
    </xf>
    <xf numFmtId="165" fontId="47" fillId="33" borderId="0" xfId="0" applyNumberFormat="1" applyFont="1" applyFill="1" applyAlignment="1">
      <alignment/>
    </xf>
    <xf numFmtId="165" fontId="0" fillId="34" borderId="0" xfId="0" applyNumberFormat="1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Border="1" applyAlignment="1">
      <alignment vertical="center"/>
    </xf>
    <xf numFmtId="9" fontId="3" fillId="33" borderId="0" xfId="0" applyNumberFormat="1" applyFont="1" applyFill="1" applyBorder="1" applyAlignment="1">
      <alignment horizontal="center" vertical="center" wrapText="1"/>
    </xf>
    <xf numFmtId="164" fontId="47" fillId="34" borderId="0" xfId="55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9" fontId="0" fillId="34" borderId="0" xfId="55" applyFont="1" applyFill="1" applyAlignment="1">
      <alignment/>
    </xf>
    <xf numFmtId="0" fontId="31" fillId="34" borderId="0" xfId="0" applyFont="1" applyFill="1" applyAlignment="1">
      <alignment/>
    </xf>
    <xf numFmtId="9" fontId="48" fillId="33" borderId="10" xfId="0" applyNumberFormat="1" applyFont="1" applyFill="1" applyBorder="1" applyAlignment="1">
      <alignment horizontal="right"/>
    </xf>
    <xf numFmtId="9" fontId="48" fillId="33" borderId="0" xfId="0" applyNumberFormat="1" applyFont="1" applyFill="1" applyBorder="1" applyAlignment="1">
      <alignment horizontal="right"/>
    </xf>
    <xf numFmtId="0" fontId="51" fillId="34" borderId="0" xfId="0" applyFont="1" applyFill="1" applyAlignment="1">
      <alignment/>
    </xf>
    <xf numFmtId="3" fontId="3" fillId="34" borderId="1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165" fontId="52" fillId="34" borderId="0" xfId="0" applyNumberFormat="1" applyFont="1" applyFill="1" applyBorder="1" applyAlignment="1">
      <alignment/>
    </xf>
    <xf numFmtId="3" fontId="52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65" fontId="3" fillId="34" borderId="0" xfId="0" applyNumberFormat="1" applyFont="1" applyFill="1" applyBorder="1" applyAlignment="1">
      <alignment/>
    </xf>
    <xf numFmtId="167" fontId="47" fillId="34" borderId="13" xfId="61" applyNumberFormat="1" applyFont="1" applyFill="1" applyBorder="1" applyAlignment="1">
      <alignment horizontal="right"/>
    </xf>
    <xf numFmtId="164" fontId="47" fillId="0" borderId="13" xfId="55" applyNumberFormat="1" applyFont="1" applyFill="1" applyBorder="1" applyAlignment="1">
      <alignment horizontal="right"/>
    </xf>
    <xf numFmtId="167" fontId="47" fillId="0" borderId="13" xfId="61" applyNumberFormat="1" applyFont="1" applyFill="1" applyBorder="1" applyAlignment="1">
      <alignment horizontal="right"/>
    </xf>
    <xf numFmtId="9" fontId="47" fillId="34" borderId="13" xfId="55" applyFont="1" applyFill="1" applyBorder="1" applyAlignment="1">
      <alignment horizontal="right"/>
    </xf>
    <xf numFmtId="167" fontId="4" fillId="33" borderId="0" xfId="61" applyNumberFormat="1" applyFont="1" applyFill="1" applyAlignment="1">
      <alignment horizontal="center" vertical="center"/>
    </xf>
    <xf numFmtId="168" fontId="47" fillId="0" borderId="13" xfId="59" applyNumberFormat="1" applyFont="1" applyFill="1" applyBorder="1" applyAlignment="1">
      <alignment horizontal="center"/>
    </xf>
    <xf numFmtId="167" fontId="51" fillId="0" borderId="0" xfId="61" applyNumberFormat="1" applyFont="1" applyFill="1" applyBorder="1" applyAlignment="1">
      <alignment horizontal="right"/>
    </xf>
    <xf numFmtId="9" fontId="0" fillId="0" borderId="0" xfId="55" applyFont="1" applyFill="1" applyAlignment="1">
      <alignment/>
    </xf>
    <xf numFmtId="3" fontId="4" fillId="33" borderId="0" xfId="0" applyNumberFormat="1" applyFont="1" applyFill="1" applyBorder="1" applyAlignment="1">
      <alignment/>
    </xf>
    <xf numFmtId="167" fontId="4" fillId="33" borderId="0" xfId="61" applyNumberFormat="1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39" fillId="36" borderId="0" xfId="0" applyFont="1" applyFill="1" applyAlignment="1">
      <alignment/>
    </xf>
    <xf numFmtId="0" fontId="39" fillId="36" borderId="10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31" fillId="36" borderId="14" xfId="0" applyFont="1" applyFill="1" applyBorder="1" applyAlignment="1">
      <alignment/>
    </xf>
    <xf numFmtId="0" fontId="39" fillId="36" borderId="14" xfId="0" applyFont="1" applyFill="1" applyBorder="1" applyAlignment="1">
      <alignment/>
    </xf>
    <xf numFmtId="9" fontId="31" fillId="36" borderId="14" xfId="0" applyNumberFormat="1" applyFont="1" applyFill="1" applyBorder="1" applyAlignment="1">
      <alignment/>
    </xf>
    <xf numFmtId="0" fontId="31" fillId="36" borderId="15" xfId="0" applyFont="1" applyFill="1" applyBorder="1" applyAlignment="1">
      <alignment/>
    </xf>
    <xf numFmtId="3" fontId="39" fillId="36" borderId="0" xfId="0" applyNumberFormat="1" applyFont="1" applyFill="1" applyAlignment="1">
      <alignment/>
    </xf>
    <xf numFmtId="0" fontId="39" fillId="36" borderId="0" xfId="0" applyFont="1" applyFill="1" applyBorder="1" applyAlignment="1">
      <alignment/>
    </xf>
    <xf numFmtId="0" fontId="31" fillId="36" borderId="0" xfId="0" applyFont="1" applyFill="1" applyAlignment="1">
      <alignment/>
    </xf>
    <xf numFmtId="0" fontId="47" fillId="34" borderId="16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169" fontId="47" fillId="34" borderId="17" xfId="61" applyNumberFormat="1" applyFont="1" applyFill="1" applyBorder="1" applyAlignment="1">
      <alignment horizontal="right"/>
    </xf>
    <xf numFmtId="167" fontId="47" fillId="34" borderId="17" xfId="61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center"/>
    </xf>
    <xf numFmtId="9" fontId="47" fillId="0" borderId="13" xfId="55" applyFont="1" applyFill="1" applyBorder="1" applyAlignment="1">
      <alignment horizontal="center"/>
    </xf>
    <xf numFmtId="3" fontId="51" fillId="34" borderId="0" xfId="0" applyNumberFormat="1" applyFont="1" applyFill="1" applyBorder="1" applyAlignment="1">
      <alignment horizontal="center" vertical="center"/>
    </xf>
    <xf numFmtId="9" fontId="47" fillId="0" borderId="13" xfId="55" applyFont="1" applyFill="1" applyBorder="1" applyAlignment="1">
      <alignment horizontal="right"/>
    </xf>
    <xf numFmtId="0" fontId="0" fillId="33" borderId="0" xfId="0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4"/>
          <c:w val="0.97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Франчайзи!$B$43</c:f>
              <c:strCache>
                <c:ptCount val="1"/>
                <c:pt idx="0">
                  <c:v>Накопленная чистая прибыль</c:v>
                </c:pt>
              </c:strCache>
            </c:strRef>
          </c:tx>
          <c:spPr>
            <a:solidFill>
              <a:srgbClr val="3D3D3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Франчайзи!$D$45:$AP$45</c:f>
              <c:strCache/>
            </c:strRef>
          </c:cat>
          <c:val>
            <c:numRef>
              <c:f>Франчайзи!$D$43:$AP$43</c:f>
              <c:numCache/>
            </c:numRef>
          </c:val>
        </c:ser>
        <c:axId val="13479903"/>
        <c:axId val="54210264"/>
      </c:barChart>
      <c:lineChart>
        <c:grouping val="standard"/>
        <c:varyColors val="0"/>
        <c:ser>
          <c:idx val="1"/>
          <c:order val="1"/>
          <c:tx>
            <c:strRef>
              <c:f>Франчайзи!$B$44</c:f>
              <c:strCache>
                <c:ptCount val="1"/>
                <c:pt idx="0">
                  <c:v>Инвестиции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Франчайзи!$D$44:$AP$44</c:f>
              <c:numCache/>
            </c:numRef>
          </c:val>
          <c:smooth val="0"/>
        </c:ser>
        <c:axId val="13479903"/>
        <c:axId val="54210264"/>
      </c:line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25"/>
          <c:y val="0.9335"/>
          <c:w val="0.5017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46</xdr:row>
      <xdr:rowOff>19050</xdr:rowOff>
    </xdr:from>
    <xdr:to>
      <xdr:col>42</xdr:col>
      <xdr:colOff>19050</xdr:colOff>
      <xdr:row>63</xdr:row>
      <xdr:rowOff>152400</xdr:rowOff>
    </xdr:to>
    <xdr:graphicFrame>
      <xdr:nvGraphicFramePr>
        <xdr:cNvPr id="1" name="Диаграмма 5"/>
        <xdr:cNvGraphicFramePr/>
      </xdr:nvGraphicFramePr>
      <xdr:xfrm>
        <a:off x="6172200" y="9486900"/>
        <a:ext cx="6648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1447800</xdr:colOff>
      <xdr:row>0</xdr:row>
      <xdr:rowOff>876300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"/>
          <a:ext cx="1762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</sheetPr>
  <dimension ref="A1:CI83"/>
  <sheetViews>
    <sheetView tabSelected="1" zoomScale="85" zoomScaleNormal="85"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T45" sqref="AT45"/>
    </sheetView>
  </sheetViews>
  <sheetFormatPr defaultColWidth="9.140625" defaultRowHeight="15" outlineLevelCol="1"/>
  <cols>
    <col min="1" max="1" width="4.00390625" style="3" customWidth="1"/>
    <col min="2" max="2" width="5.140625" style="3" customWidth="1"/>
    <col min="3" max="3" width="30.140625" style="3" customWidth="1"/>
    <col min="4" max="4" width="9.8515625" style="3" customWidth="1" outlineLevel="1"/>
    <col min="5" max="5" width="12.7109375" style="3" customWidth="1" outlineLevel="1"/>
    <col min="6" max="8" width="9.140625" style="3" customWidth="1" outlineLevel="1"/>
    <col min="9" max="9" width="10.57421875" style="3" customWidth="1" outlineLevel="1"/>
    <col min="10" max="10" width="11.140625" style="3" customWidth="1" outlineLevel="1"/>
    <col min="11" max="15" width="9.8515625" style="3" customWidth="1" outlineLevel="1"/>
    <col min="16" max="16" width="10.8515625" style="3" bestFit="1" customWidth="1"/>
    <col min="17" max="17" width="11.421875" style="3" hidden="1" customWidth="1" outlineLevel="1"/>
    <col min="18" max="18" width="9.7109375" style="3" hidden="1" customWidth="1" outlineLevel="1"/>
    <col min="19" max="19" width="10.00390625" style="3" hidden="1" customWidth="1" outlineLevel="1"/>
    <col min="20" max="20" width="10.140625" style="3" hidden="1" customWidth="1" outlineLevel="1"/>
    <col min="21" max="28" width="9.8515625" style="3" hidden="1" customWidth="1" outlineLevel="1"/>
    <col min="29" max="29" width="10.421875" style="3" bestFit="1" customWidth="1" collapsed="1"/>
    <col min="30" max="30" width="12.140625" style="3" hidden="1" customWidth="1" outlineLevel="1"/>
    <col min="31" max="40" width="9.8515625" style="3" hidden="1" customWidth="1" outlineLevel="1"/>
    <col min="41" max="41" width="11.140625" style="3" hidden="1" customWidth="1" outlineLevel="1"/>
    <col min="42" max="42" width="10.421875" style="3" bestFit="1" customWidth="1" collapsed="1"/>
    <col min="43" max="43" width="9.140625" style="3" customWidth="1"/>
    <col min="44" max="44" width="27.28125" style="3" customWidth="1"/>
    <col min="45" max="45" width="10.7109375" style="3" customWidth="1"/>
    <col min="46" max="46" width="11.140625" style="3" customWidth="1"/>
    <col min="47" max="47" width="11.8515625" style="3" customWidth="1"/>
    <col min="48" max="48" width="11.28125" style="3" customWidth="1"/>
    <col min="49" max="49" width="9.140625" style="3" customWidth="1"/>
    <col min="50" max="50" width="9.7109375" style="3" customWidth="1"/>
    <col min="51" max="51" width="11.57421875" style="3" customWidth="1"/>
    <col min="52" max="52" width="12.28125" style="3" customWidth="1"/>
    <col min="53" max="53" width="9.140625" style="3" customWidth="1"/>
    <col min="54" max="55" width="0" style="3" hidden="1" customWidth="1"/>
    <col min="56" max="56" width="16.00390625" style="3" hidden="1" customWidth="1"/>
    <col min="57" max="59" width="0" style="3" hidden="1" customWidth="1"/>
    <col min="60" max="61" width="9.140625" style="3" hidden="1" customWidth="1"/>
    <col min="62" max="75" width="0" style="3" hidden="1" customWidth="1"/>
    <col min="76" max="76" width="9.140625" style="3" hidden="1" customWidth="1"/>
    <col min="77" max="78" width="9.140625" style="3" customWidth="1"/>
    <col min="79" max="81" width="9.140625" style="3" hidden="1" customWidth="1"/>
    <col min="82" max="86" width="9.140625" style="3" customWidth="1"/>
    <col min="87" max="87" width="0" style="3" hidden="1" customWidth="1"/>
    <col min="88" max="16384" width="9.140625" style="3" customWidth="1"/>
  </cols>
  <sheetData>
    <row r="1" spans="3:10" ht="72" customHeight="1">
      <c r="C1"/>
      <c r="D1" s="91" t="s">
        <v>44</v>
      </c>
      <c r="E1" s="61"/>
      <c r="F1" s="61"/>
      <c r="G1" s="61"/>
      <c r="H1" s="61"/>
      <c r="I1" s="61"/>
      <c r="J1" s="61"/>
    </row>
    <row r="2" spans="1:79" ht="15">
      <c r="A2" s="92"/>
      <c r="B2" s="92" t="s">
        <v>45</v>
      </c>
      <c r="C2" s="92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4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4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4"/>
      <c r="AR2" s="100"/>
      <c r="AS2" s="100" t="s">
        <v>46</v>
      </c>
      <c r="AT2" s="100"/>
      <c r="AU2" s="100"/>
      <c r="AV2" s="100"/>
      <c r="AW2" s="100"/>
      <c r="AX2" s="100"/>
      <c r="AY2" s="100"/>
      <c r="AZ2" s="100"/>
      <c r="CA2" s="58" t="s">
        <v>47</v>
      </c>
    </row>
    <row r="3" spans="1:87" ht="15">
      <c r="A3" s="4"/>
      <c r="B3" s="5"/>
      <c r="C3" s="6" t="s">
        <v>48</v>
      </c>
      <c r="D3" s="7" t="str">
        <f>$AU$5</f>
        <v>фев</v>
      </c>
      <c r="E3" s="8" t="str">
        <f aca="true" ca="1" t="shared" si="0" ref="E3:O3">OFFSET(INDIRECT(ADDRESS(MATCH(D3,$CB$1:$CB$23,0),80,,1,),1),1,0)</f>
        <v>мар</v>
      </c>
      <c r="F3" s="8" t="str">
        <f ca="1" t="shared" si="0"/>
        <v>апр</v>
      </c>
      <c r="G3" s="8" t="str">
        <f ca="1" t="shared" si="0"/>
        <v>май</v>
      </c>
      <c r="H3" s="8" t="str">
        <f ca="1" t="shared" si="0"/>
        <v>июн</v>
      </c>
      <c r="I3" s="8" t="str">
        <f ca="1" t="shared" si="0"/>
        <v>июл</v>
      </c>
      <c r="J3" s="8" t="str">
        <f ca="1" t="shared" si="0"/>
        <v>авг</v>
      </c>
      <c r="K3" s="8" t="str">
        <f ca="1" t="shared" si="0"/>
        <v>сен</v>
      </c>
      <c r="L3" s="8" t="str">
        <f ca="1" t="shared" si="0"/>
        <v>окт</v>
      </c>
      <c r="M3" s="8" t="str">
        <f ca="1" t="shared" si="0"/>
        <v>ноя</v>
      </c>
      <c r="N3" s="8" t="str">
        <f ca="1" t="shared" si="0"/>
        <v>дек</v>
      </c>
      <c r="O3" s="8" t="str">
        <f ca="1" t="shared" si="0"/>
        <v>янв</v>
      </c>
      <c r="P3" s="9" t="s">
        <v>35</v>
      </c>
      <c r="Q3" s="7" t="str">
        <f>$AU$5</f>
        <v>фев</v>
      </c>
      <c r="R3" s="8" t="str">
        <f aca="true" ca="1" t="shared" si="1" ref="R3:AB3">OFFSET(INDIRECT(ADDRESS(MATCH(Q3,$CB$1:$CB$23,0),80,,1,),1),1,0)</f>
        <v>мар</v>
      </c>
      <c r="S3" s="8" t="str">
        <f ca="1" t="shared" si="1"/>
        <v>апр</v>
      </c>
      <c r="T3" s="8" t="str">
        <f ca="1" t="shared" si="1"/>
        <v>май</v>
      </c>
      <c r="U3" s="8" t="str">
        <f ca="1" t="shared" si="1"/>
        <v>июн</v>
      </c>
      <c r="V3" s="8" t="str">
        <f ca="1" t="shared" si="1"/>
        <v>июл</v>
      </c>
      <c r="W3" s="8" t="str">
        <f ca="1" t="shared" si="1"/>
        <v>авг</v>
      </c>
      <c r="X3" s="8" t="str">
        <f ca="1" t="shared" si="1"/>
        <v>сен</v>
      </c>
      <c r="Y3" s="8" t="str">
        <f ca="1" t="shared" si="1"/>
        <v>окт</v>
      </c>
      <c r="Z3" s="8" t="str">
        <f ca="1" t="shared" si="1"/>
        <v>ноя</v>
      </c>
      <c r="AA3" s="8" t="str">
        <f ca="1" t="shared" si="1"/>
        <v>дек</v>
      </c>
      <c r="AB3" s="8" t="str">
        <f ca="1" t="shared" si="1"/>
        <v>янв</v>
      </c>
      <c r="AC3" s="9" t="s">
        <v>35</v>
      </c>
      <c r="AD3" s="7" t="str">
        <f>$AU$5</f>
        <v>фев</v>
      </c>
      <c r="AE3" s="8" t="str">
        <f aca="true" ca="1" t="shared" si="2" ref="AE3:AO3">OFFSET(INDIRECT(ADDRESS(MATCH(AD3,$CB$1:$CB$23,0),80,,1,),1),1,0)</f>
        <v>мар</v>
      </c>
      <c r="AF3" s="8" t="str">
        <f ca="1" t="shared" si="2"/>
        <v>апр</v>
      </c>
      <c r="AG3" s="8" t="str">
        <f ca="1" t="shared" si="2"/>
        <v>май</v>
      </c>
      <c r="AH3" s="8" t="str">
        <f ca="1" t="shared" si="2"/>
        <v>июн</v>
      </c>
      <c r="AI3" s="8" t="str">
        <f ca="1" t="shared" si="2"/>
        <v>июл</v>
      </c>
      <c r="AJ3" s="8" t="str">
        <f ca="1" t="shared" si="2"/>
        <v>авг</v>
      </c>
      <c r="AK3" s="8" t="str">
        <f ca="1" t="shared" si="2"/>
        <v>сен</v>
      </c>
      <c r="AL3" s="8" t="str">
        <f ca="1" t="shared" si="2"/>
        <v>окт</v>
      </c>
      <c r="AM3" s="8" t="str">
        <f ca="1" t="shared" si="2"/>
        <v>ноя</v>
      </c>
      <c r="AN3" s="8" t="str">
        <f ca="1" t="shared" si="2"/>
        <v>дек</v>
      </c>
      <c r="AO3" s="8" t="str">
        <f ca="1" t="shared" si="2"/>
        <v>янв</v>
      </c>
      <c r="AP3" s="9" t="s">
        <v>35</v>
      </c>
      <c r="AQ3" s="10"/>
      <c r="AR3" s="102"/>
      <c r="AS3" s="103" t="s">
        <v>49</v>
      </c>
      <c r="AT3" s="102"/>
      <c r="AU3" s="102"/>
      <c r="AV3" s="102"/>
      <c r="AW3" s="102"/>
      <c r="AX3" s="102"/>
      <c r="AY3" s="102"/>
      <c r="AZ3" s="102"/>
      <c r="BA3" s="10"/>
      <c r="BB3" s="10"/>
      <c r="CA3" s="58" t="s">
        <v>47</v>
      </c>
      <c r="CI3" t="s">
        <v>116</v>
      </c>
    </row>
    <row r="4" spans="1:87" ht="15">
      <c r="A4" s="5"/>
      <c r="B4" s="5" t="s">
        <v>50</v>
      </c>
      <c r="C4" s="5"/>
      <c r="D4" s="59">
        <f aca="true" t="shared" si="3" ref="D4:O4">VLOOKUP(D3,$CB$12:$CC$23,2,0)</f>
        <v>1.5</v>
      </c>
      <c r="E4" s="60">
        <f t="shared" si="3"/>
        <v>1.5</v>
      </c>
      <c r="F4" s="60">
        <f t="shared" si="3"/>
        <v>0.75</v>
      </c>
      <c r="G4" s="60">
        <f t="shared" si="3"/>
        <v>1.5</v>
      </c>
      <c r="H4" s="60">
        <f t="shared" si="3"/>
        <v>1.5</v>
      </c>
      <c r="I4" s="60">
        <f t="shared" si="3"/>
        <v>1.5</v>
      </c>
      <c r="J4" s="60">
        <f t="shared" si="3"/>
        <v>0.75</v>
      </c>
      <c r="K4" s="60">
        <f t="shared" si="3"/>
        <v>0.75</v>
      </c>
      <c r="L4" s="60">
        <f t="shared" si="3"/>
        <v>0.75</v>
      </c>
      <c r="M4" s="60">
        <f t="shared" si="3"/>
        <v>0.75</v>
      </c>
      <c r="N4" s="60">
        <f t="shared" si="3"/>
        <v>1.5</v>
      </c>
      <c r="O4" s="60">
        <f t="shared" si="3"/>
        <v>0.5</v>
      </c>
      <c r="P4" s="9" t="s">
        <v>36</v>
      </c>
      <c r="Q4" s="59">
        <f aca="true" t="shared" si="4" ref="Q4:AB4">VLOOKUP(Q3,$CB$12:$CC$23,2,0)</f>
        <v>1.5</v>
      </c>
      <c r="R4" s="60">
        <f t="shared" si="4"/>
        <v>1.5</v>
      </c>
      <c r="S4" s="60">
        <f t="shared" si="4"/>
        <v>0.75</v>
      </c>
      <c r="T4" s="60">
        <f t="shared" si="4"/>
        <v>1.5</v>
      </c>
      <c r="U4" s="60">
        <f t="shared" si="4"/>
        <v>1.5</v>
      </c>
      <c r="V4" s="60">
        <f t="shared" si="4"/>
        <v>1.5</v>
      </c>
      <c r="W4" s="60">
        <f t="shared" si="4"/>
        <v>0.75</v>
      </c>
      <c r="X4" s="60">
        <f t="shared" si="4"/>
        <v>0.75</v>
      </c>
      <c r="Y4" s="60">
        <f t="shared" si="4"/>
        <v>0.75</v>
      </c>
      <c r="Z4" s="60">
        <f t="shared" si="4"/>
        <v>0.75</v>
      </c>
      <c r="AA4" s="60">
        <f t="shared" si="4"/>
        <v>1.5</v>
      </c>
      <c r="AB4" s="60">
        <f t="shared" si="4"/>
        <v>0.5</v>
      </c>
      <c r="AC4" s="9" t="s">
        <v>39</v>
      </c>
      <c r="AD4" s="59">
        <f aca="true" t="shared" si="5" ref="AD4:AO4">VLOOKUP(AD3,$CB$12:$CC$23,2,0)</f>
        <v>1.5</v>
      </c>
      <c r="AE4" s="60">
        <f t="shared" si="5"/>
        <v>1.5</v>
      </c>
      <c r="AF4" s="60">
        <f t="shared" si="5"/>
        <v>0.75</v>
      </c>
      <c r="AG4" s="60">
        <f t="shared" si="5"/>
        <v>1.5</v>
      </c>
      <c r="AH4" s="60">
        <f t="shared" si="5"/>
        <v>1.5</v>
      </c>
      <c r="AI4" s="60">
        <f t="shared" si="5"/>
        <v>1.5</v>
      </c>
      <c r="AJ4" s="60">
        <f t="shared" si="5"/>
        <v>0.75</v>
      </c>
      <c r="AK4" s="60">
        <f t="shared" si="5"/>
        <v>0.75</v>
      </c>
      <c r="AL4" s="60">
        <f t="shared" si="5"/>
        <v>0.75</v>
      </c>
      <c r="AM4" s="60">
        <f t="shared" si="5"/>
        <v>0.75</v>
      </c>
      <c r="AN4" s="60">
        <f t="shared" si="5"/>
        <v>1.5</v>
      </c>
      <c r="AO4" s="60">
        <f t="shared" si="5"/>
        <v>0.5</v>
      </c>
      <c r="AP4" s="9" t="s">
        <v>51</v>
      </c>
      <c r="AQ4" s="10"/>
      <c r="AR4" s="11"/>
      <c r="AS4" s="12" t="s">
        <v>52</v>
      </c>
      <c r="AT4" s="13" t="s">
        <v>116</v>
      </c>
      <c r="AU4" s="13"/>
      <c r="AV4" s="14"/>
      <c r="AW4" s="13"/>
      <c r="AX4" s="13"/>
      <c r="AY4" s="13"/>
      <c r="AZ4" s="13"/>
      <c r="BA4" s="10"/>
      <c r="BB4" s="10"/>
      <c r="BH4" s="3" t="s">
        <v>53</v>
      </c>
      <c r="CA4" s="58" t="s">
        <v>47</v>
      </c>
      <c r="CI4" t="s">
        <v>114</v>
      </c>
    </row>
    <row r="5" spans="1:87" ht="15">
      <c r="A5" s="95"/>
      <c r="B5" s="96" t="s">
        <v>54</v>
      </c>
      <c r="C5" s="95"/>
      <c r="D5" s="97">
        <v>0.6</v>
      </c>
      <c r="E5" s="97">
        <v>0.7</v>
      </c>
      <c r="F5" s="97">
        <v>0.8</v>
      </c>
      <c r="G5" s="97">
        <v>0.85</v>
      </c>
      <c r="H5" s="97">
        <v>0.9</v>
      </c>
      <c r="I5" s="97">
        <v>0.95</v>
      </c>
      <c r="J5" s="97">
        <v>1</v>
      </c>
      <c r="K5" s="97">
        <v>1</v>
      </c>
      <c r="L5" s="97">
        <v>1</v>
      </c>
      <c r="M5" s="97">
        <v>1</v>
      </c>
      <c r="N5" s="97">
        <v>1</v>
      </c>
      <c r="O5" s="97">
        <v>1</v>
      </c>
      <c r="P5" s="98"/>
      <c r="Q5" s="97">
        <v>1</v>
      </c>
      <c r="R5" s="97">
        <v>1</v>
      </c>
      <c r="S5" s="97">
        <v>1</v>
      </c>
      <c r="T5" s="97">
        <v>1</v>
      </c>
      <c r="U5" s="97">
        <v>1</v>
      </c>
      <c r="V5" s="97">
        <v>1</v>
      </c>
      <c r="W5" s="97">
        <v>1</v>
      </c>
      <c r="X5" s="97">
        <v>1</v>
      </c>
      <c r="Y5" s="97">
        <v>1</v>
      </c>
      <c r="Z5" s="97">
        <v>1</v>
      </c>
      <c r="AA5" s="97">
        <v>1</v>
      </c>
      <c r="AB5" s="97">
        <v>1</v>
      </c>
      <c r="AC5" s="98"/>
      <c r="AD5" s="97">
        <v>1</v>
      </c>
      <c r="AE5" s="97">
        <v>1</v>
      </c>
      <c r="AF5" s="97">
        <v>1</v>
      </c>
      <c r="AG5" s="97">
        <v>1</v>
      </c>
      <c r="AH5" s="97">
        <v>1</v>
      </c>
      <c r="AI5" s="97">
        <v>1</v>
      </c>
      <c r="AJ5" s="97">
        <v>1</v>
      </c>
      <c r="AK5" s="97">
        <v>1</v>
      </c>
      <c r="AL5" s="97">
        <v>1</v>
      </c>
      <c r="AM5" s="97">
        <v>1</v>
      </c>
      <c r="AN5" s="97">
        <v>1</v>
      </c>
      <c r="AO5" s="97">
        <v>1</v>
      </c>
      <c r="AP5" s="98"/>
      <c r="AQ5" s="10"/>
      <c r="AR5" s="15" t="s">
        <v>55</v>
      </c>
      <c r="AS5" s="15"/>
      <c r="AT5" s="15"/>
      <c r="AU5" s="81" t="s">
        <v>65</v>
      </c>
      <c r="AV5" s="15"/>
      <c r="AW5" s="15"/>
      <c r="AX5" s="15"/>
      <c r="AY5" s="15"/>
      <c r="AZ5" s="15"/>
      <c r="CI5" t="s">
        <v>115</v>
      </c>
    </row>
    <row r="6" spans="1:54" ht="15">
      <c r="A6" s="111" t="s">
        <v>57</v>
      </c>
      <c r="B6" s="111"/>
      <c r="C6" s="111"/>
      <c r="D6" s="62">
        <f aca="true" t="shared" si="6" ref="D6:O6">SUM(D7:D8)</f>
        <v>1210500</v>
      </c>
      <c r="E6" s="63">
        <f t="shared" si="6"/>
        <v>1412250</v>
      </c>
      <c r="F6" s="63">
        <f t="shared" si="6"/>
        <v>807000</v>
      </c>
      <c r="G6" s="63">
        <f t="shared" si="6"/>
        <v>1714875</v>
      </c>
      <c r="H6" s="63">
        <f t="shared" si="6"/>
        <v>1815750</v>
      </c>
      <c r="I6" s="63">
        <f t="shared" si="6"/>
        <v>1916625</v>
      </c>
      <c r="J6" s="63">
        <f t="shared" si="6"/>
        <v>1008750</v>
      </c>
      <c r="K6" s="63">
        <f t="shared" si="6"/>
        <v>1008750</v>
      </c>
      <c r="L6" s="63">
        <f t="shared" si="6"/>
        <v>1008750</v>
      </c>
      <c r="M6" s="63">
        <f t="shared" si="6"/>
        <v>1008750</v>
      </c>
      <c r="N6" s="63">
        <f t="shared" si="6"/>
        <v>2017500</v>
      </c>
      <c r="O6" s="63">
        <f t="shared" si="6"/>
        <v>672500</v>
      </c>
      <c r="P6" s="64">
        <f>SUM(D6:O6)</f>
        <v>15602000</v>
      </c>
      <c r="Q6" s="62">
        <f aca="true" t="shared" si="7" ref="Q6:AB6">SUM(Q7:Q8)</f>
        <v>2017500</v>
      </c>
      <c r="R6" s="63">
        <f t="shared" si="7"/>
        <v>2017500</v>
      </c>
      <c r="S6" s="63">
        <f t="shared" si="7"/>
        <v>1008750</v>
      </c>
      <c r="T6" s="63">
        <f t="shared" si="7"/>
        <v>2017500</v>
      </c>
      <c r="U6" s="63">
        <f t="shared" si="7"/>
        <v>2017500</v>
      </c>
      <c r="V6" s="63">
        <f t="shared" si="7"/>
        <v>2017500</v>
      </c>
      <c r="W6" s="63">
        <f t="shared" si="7"/>
        <v>1008750</v>
      </c>
      <c r="X6" s="63">
        <f t="shared" si="7"/>
        <v>1008750</v>
      </c>
      <c r="Y6" s="63">
        <f t="shared" si="7"/>
        <v>1008750</v>
      </c>
      <c r="Z6" s="63">
        <f t="shared" si="7"/>
        <v>1008750</v>
      </c>
      <c r="AA6" s="63">
        <f t="shared" si="7"/>
        <v>2017500</v>
      </c>
      <c r="AB6" s="63">
        <f t="shared" si="7"/>
        <v>672500</v>
      </c>
      <c r="AC6" s="64">
        <f aca="true" t="shared" si="8" ref="AC6:AC18">SUM(Q6:AB6)</f>
        <v>17821250</v>
      </c>
      <c r="AD6" s="62">
        <f aca="true" t="shared" si="9" ref="AD6:AO6">SUM(AD7:AD8)</f>
        <v>2017500</v>
      </c>
      <c r="AE6" s="63">
        <f t="shared" si="9"/>
        <v>2017500</v>
      </c>
      <c r="AF6" s="63">
        <f t="shared" si="9"/>
        <v>1008750</v>
      </c>
      <c r="AG6" s="63">
        <f t="shared" si="9"/>
        <v>2017500</v>
      </c>
      <c r="AH6" s="63">
        <f t="shared" si="9"/>
        <v>2017500</v>
      </c>
      <c r="AI6" s="63">
        <f t="shared" si="9"/>
        <v>2017500</v>
      </c>
      <c r="AJ6" s="63">
        <f t="shared" si="9"/>
        <v>1008750</v>
      </c>
      <c r="AK6" s="63">
        <f t="shared" si="9"/>
        <v>1008750</v>
      </c>
      <c r="AL6" s="63">
        <f t="shared" si="9"/>
        <v>1008750</v>
      </c>
      <c r="AM6" s="63">
        <f t="shared" si="9"/>
        <v>1008750</v>
      </c>
      <c r="AN6" s="63">
        <f t="shared" si="9"/>
        <v>2017500</v>
      </c>
      <c r="AO6" s="63">
        <f t="shared" si="9"/>
        <v>672500</v>
      </c>
      <c r="AP6" s="64">
        <f aca="true" t="shared" si="10" ref="AP6:AP18">SUM(AD6:AO6)</f>
        <v>17821250</v>
      </c>
      <c r="AQ6" s="10"/>
      <c r="AR6" s="100" t="s">
        <v>58</v>
      </c>
      <c r="AS6" s="100"/>
      <c r="AT6" s="100"/>
      <c r="AU6" s="100"/>
      <c r="AV6" s="100"/>
      <c r="AW6" s="100"/>
      <c r="AX6" s="100"/>
      <c r="AY6" s="100"/>
      <c r="AZ6" s="100"/>
      <c r="BA6" s="10"/>
      <c r="BB6" s="10"/>
    </row>
    <row r="7" spans="1:54" ht="15">
      <c r="A7" s="1" t="s">
        <v>0</v>
      </c>
      <c r="B7" s="1" t="s">
        <v>112</v>
      </c>
      <c r="C7" s="1"/>
      <c r="D7" s="50">
        <f>$AU$7*$AX$7*D5*D4</f>
        <v>535500</v>
      </c>
      <c r="E7" s="50">
        <f aca="true" t="shared" si="11" ref="E7:O7">$AU$7*$AX$7*E5*E4</f>
        <v>624750</v>
      </c>
      <c r="F7" s="50">
        <f t="shared" si="11"/>
        <v>357000</v>
      </c>
      <c r="G7" s="50">
        <f t="shared" si="11"/>
        <v>758625</v>
      </c>
      <c r="H7" s="50">
        <f t="shared" si="11"/>
        <v>803250</v>
      </c>
      <c r="I7" s="50">
        <f t="shared" si="11"/>
        <v>847875</v>
      </c>
      <c r="J7" s="50">
        <f t="shared" si="11"/>
        <v>446250</v>
      </c>
      <c r="K7" s="50">
        <f t="shared" si="11"/>
        <v>446250</v>
      </c>
      <c r="L7" s="50">
        <f t="shared" si="11"/>
        <v>446250</v>
      </c>
      <c r="M7" s="50">
        <f t="shared" si="11"/>
        <v>446250</v>
      </c>
      <c r="N7" s="50">
        <f t="shared" si="11"/>
        <v>892500</v>
      </c>
      <c r="O7" s="53">
        <f t="shared" si="11"/>
        <v>297500</v>
      </c>
      <c r="P7" s="17">
        <f>SUM(D7:O7)</f>
        <v>6902000</v>
      </c>
      <c r="Q7" s="50">
        <f>$AU$7*$AX$7*Q5*Q4</f>
        <v>892500</v>
      </c>
      <c r="R7" s="50">
        <f aca="true" t="shared" si="12" ref="R7:AB7">$AU$7*$AX$7*R5*R4</f>
        <v>892500</v>
      </c>
      <c r="S7" s="50">
        <f t="shared" si="12"/>
        <v>446250</v>
      </c>
      <c r="T7" s="50">
        <f t="shared" si="12"/>
        <v>892500</v>
      </c>
      <c r="U7" s="50">
        <f t="shared" si="12"/>
        <v>892500</v>
      </c>
      <c r="V7" s="50">
        <f t="shared" si="12"/>
        <v>892500</v>
      </c>
      <c r="W7" s="50">
        <f t="shared" si="12"/>
        <v>446250</v>
      </c>
      <c r="X7" s="50">
        <f t="shared" si="12"/>
        <v>446250</v>
      </c>
      <c r="Y7" s="50">
        <f t="shared" si="12"/>
        <v>446250</v>
      </c>
      <c r="Z7" s="50">
        <f t="shared" si="12"/>
        <v>446250</v>
      </c>
      <c r="AA7" s="50">
        <f t="shared" si="12"/>
        <v>892500</v>
      </c>
      <c r="AB7" s="53">
        <f t="shared" si="12"/>
        <v>297500</v>
      </c>
      <c r="AC7" s="17">
        <f t="shared" si="8"/>
        <v>7883750</v>
      </c>
      <c r="AD7" s="50">
        <f>$AU$7*$AX$7*AD5*AD4</f>
        <v>892500</v>
      </c>
      <c r="AE7" s="50">
        <f aca="true" t="shared" si="13" ref="AE7:AO7">$AU$7*$AX$7*AE5*AE4</f>
        <v>892500</v>
      </c>
      <c r="AF7" s="50">
        <f t="shared" si="13"/>
        <v>446250</v>
      </c>
      <c r="AG7" s="50">
        <f t="shared" si="13"/>
        <v>892500</v>
      </c>
      <c r="AH7" s="50">
        <f t="shared" si="13"/>
        <v>892500</v>
      </c>
      <c r="AI7" s="50">
        <f t="shared" si="13"/>
        <v>892500</v>
      </c>
      <c r="AJ7" s="50">
        <f t="shared" si="13"/>
        <v>446250</v>
      </c>
      <c r="AK7" s="50">
        <f t="shared" si="13"/>
        <v>446250</v>
      </c>
      <c r="AL7" s="50">
        <f t="shared" si="13"/>
        <v>446250</v>
      </c>
      <c r="AM7" s="50">
        <f t="shared" si="13"/>
        <v>446250</v>
      </c>
      <c r="AN7" s="50">
        <f t="shared" si="13"/>
        <v>892500</v>
      </c>
      <c r="AO7" s="53">
        <f t="shared" si="13"/>
        <v>297500</v>
      </c>
      <c r="AP7" s="17">
        <f t="shared" si="10"/>
        <v>7883750</v>
      </c>
      <c r="AQ7" s="10"/>
      <c r="AR7" s="1" t="str">
        <f>B7</f>
        <v>Продажа сумок, кошельков, обуви</v>
      </c>
      <c r="AS7" s="19"/>
      <c r="AT7" s="20" t="s">
        <v>102</v>
      </c>
      <c r="AU7" s="83">
        <f>IF(AT4="остров",35,(IF(AT4="Бутик 20-70 кв.м.",35,75)))</f>
        <v>35</v>
      </c>
      <c r="AV7" s="15"/>
      <c r="AW7" s="21" t="s">
        <v>59</v>
      </c>
      <c r="AX7" s="83">
        <v>17000</v>
      </c>
      <c r="AY7" s="22" t="s">
        <v>60</v>
      </c>
      <c r="AZ7" s="22"/>
      <c r="BA7" s="10"/>
      <c r="BB7" s="10"/>
    </row>
    <row r="8" spans="1:54" ht="15">
      <c r="A8" s="1" t="s">
        <v>1</v>
      </c>
      <c r="B8" s="1" t="s">
        <v>113</v>
      </c>
      <c r="C8" s="1"/>
      <c r="D8" s="50">
        <f>$AU$8*$AX$8*D5*D4</f>
        <v>675000</v>
      </c>
      <c r="E8" s="50">
        <f aca="true" t="shared" si="14" ref="E8:O8">$AU$8*$AX$8*E5*E4</f>
        <v>787500</v>
      </c>
      <c r="F8" s="50">
        <f t="shared" si="14"/>
        <v>450000</v>
      </c>
      <c r="G8" s="50">
        <f t="shared" si="14"/>
        <v>956250</v>
      </c>
      <c r="H8" s="50">
        <f t="shared" si="14"/>
        <v>1012500</v>
      </c>
      <c r="I8" s="50">
        <f t="shared" si="14"/>
        <v>1068750</v>
      </c>
      <c r="J8" s="50">
        <f t="shared" si="14"/>
        <v>562500</v>
      </c>
      <c r="K8" s="50">
        <f t="shared" si="14"/>
        <v>562500</v>
      </c>
      <c r="L8" s="50">
        <f t="shared" si="14"/>
        <v>562500</v>
      </c>
      <c r="M8" s="50">
        <f t="shared" si="14"/>
        <v>562500</v>
      </c>
      <c r="N8" s="50">
        <f t="shared" si="14"/>
        <v>1125000</v>
      </c>
      <c r="O8" s="50">
        <f t="shared" si="14"/>
        <v>375000</v>
      </c>
      <c r="P8" s="18">
        <f>SUM(D8:O8)</f>
        <v>8700000</v>
      </c>
      <c r="Q8" s="50">
        <f>$AU$8*$AX$8*Q5*Q4</f>
        <v>1125000</v>
      </c>
      <c r="R8" s="50">
        <f aca="true" t="shared" si="15" ref="R8:AB8">$AU$8*$AX$8*R5*R4</f>
        <v>1125000</v>
      </c>
      <c r="S8" s="50">
        <f t="shared" si="15"/>
        <v>562500</v>
      </c>
      <c r="T8" s="50">
        <f t="shared" si="15"/>
        <v>1125000</v>
      </c>
      <c r="U8" s="50">
        <f t="shared" si="15"/>
        <v>1125000</v>
      </c>
      <c r="V8" s="50">
        <f t="shared" si="15"/>
        <v>1125000</v>
      </c>
      <c r="W8" s="50">
        <f t="shared" si="15"/>
        <v>562500</v>
      </c>
      <c r="X8" s="50">
        <f t="shared" si="15"/>
        <v>562500</v>
      </c>
      <c r="Y8" s="50">
        <f t="shared" si="15"/>
        <v>562500</v>
      </c>
      <c r="Z8" s="50">
        <f t="shared" si="15"/>
        <v>562500</v>
      </c>
      <c r="AA8" s="50">
        <f t="shared" si="15"/>
        <v>1125000</v>
      </c>
      <c r="AB8" s="50">
        <f t="shared" si="15"/>
        <v>375000</v>
      </c>
      <c r="AC8" s="18">
        <f t="shared" si="8"/>
        <v>9937500</v>
      </c>
      <c r="AD8" s="50">
        <f>$AU$8*$AX$8*AD5*AD4</f>
        <v>1125000</v>
      </c>
      <c r="AE8" s="50">
        <f aca="true" t="shared" si="16" ref="AE8:AO8">$AU$8*$AX$8*AE5*AE4</f>
        <v>1125000</v>
      </c>
      <c r="AF8" s="50">
        <f t="shared" si="16"/>
        <v>562500</v>
      </c>
      <c r="AG8" s="50">
        <f t="shared" si="16"/>
        <v>1125000</v>
      </c>
      <c r="AH8" s="50">
        <f t="shared" si="16"/>
        <v>1125000</v>
      </c>
      <c r="AI8" s="50">
        <f t="shared" si="16"/>
        <v>1125000</v>
      </c>
      <c r="AJ8" s="50">
        <f t="shared" si="16"/>
        <v>562500</v>
      </c>
      <c r="AK8" s="50">
        <f t="shared" si="16"/>
        <v>562500</v>
      </c>
      <c r="AL8" s="50">
        <f t="shared" si="16"/>
        <v>562500</v>
      </c>
      <c r="AM8" s="50">
        <f t="shared" si="16"/>
        <v>562500</v>
      </c>
      <c r="AN8" s="50">
        <f t="shared" si="16"/>
        <v>1125000</v>
      </c>
      <c r="AO8" s="50">
        <f t="shared" si="16"/>
        <v>375000</v>
      </c>
      <c r="AP8" s="18">
        <f t="shared" si="10"/>
        <v>9937500</v>
      </c>
      <c r="AQ8" s="10"/>
      <c r="AR8" s="1" t="str">
        <f>B8</f>
        <v>Продажа украшений</v>
      </c>
      <c r="AS8" s="19"/>
      <c r="AT8" s="20" t="s">
        <v>102</v>
      </c>
      <c r="AU8" s="83">
        <f>IF(AT4="остров",250,(IF(AT4="Бутик 20-70 кв.м.",300,400)))</f>
        <v>250</v>
      </c>
      <c r="AV8" s="15"/>
      <c r="AW8" s="21" t="s">
        <v>59</v>
      </c>
      <c r="AX8" s="81">
        <v>3000</v>
      </c>
      <c r="AY8" s="22" t="s">
        <v>60</v>
      </c>
      <c r="AZ8" s="22"/>
      <c r="BA8" s="10"/>
      <c r="BB8" s="10"/>
    </row>
    <row r="9" spans="1:54" ht="15">
      <c r="A9" s="92" t="s">
        <v>2</v>
      </c>
      <c r="B9" s="92" t="s">
        <v>3</v>
      </c>
      <c r="C9" s="92"/>
      <c r="D9" s="99">
        <f>D10+D11</f>
        <v>822757.5</v>
      </c>
      <c r="E9" s="99">
        <f aca="true" t="shared" si="17" ref="E9:O9">E10+E11</f>
        <v>959883.75</v>
      </c>
      <c r="F9" s="99">
        <f t="shared" si="17"/>
        <v>548505</v>
      </c>
      <c r="G9" s="99">
        <f t="shared" si="17"/>
        <v>1165573.125</v>
      </c>
      <c r="H9" s="99">
        <f t="shared" si="17"/>
        <v>1234136.25</v>
      </c>
      <c r="I9" s="99">
        <f t="shared" si="17"/>
        <v>1302699.375</v>
      </c>
      <c r="J9" s="99">
        <f t="shared" si="17"/>
        <v>685631.25</v>
      </c>
      <c r="K9" s="99">
        <f t="shared" si="17"/>
        <v>685631.25</v>
      </c>
      <c r="L9" s="99">
        <f t="shared" si="17"/>
        <v>685631.25</v>
      </c>
      <c r="M9" s="99">
        <f t="shared" si="17"/>
        <v>685631.25</v>
      </c>
      <c r="N9" s="99">
        <f t="shared" si="17"/>
        <v>1371262.5</v>
      </c>
      <c r="O9" s="99">
        <f t="shared" si="17"/>
        <v>457087.5</v>
      </c>
      <c r="P9" s="99">
        <f aca="true" t="shared" si="18" ref="P9:P41">SUM(D9:O9)</f>
        <v>10604430</v>
      </c>
      <c r="Q9" s="99">
        <f>Q10+Q11</f>
        <v>1371262.5</v>
      </c>
      <c r="R9" s="99">
        <f aca="true" t="shared" si="19" ref="R9:AB9">R10+R11</f>
        <v>1371262.5</v>
      </c>
      <c r="S9" s="99">
        <f t="shared" si="19"/>
        <v>685631.25</v>
      </c>
      <c r="T9" s="99">
        <f t="shared" si="19"/>
        <v>1371262.5</v>
      </c>
      <c r="U9" s="99">
        <f t="shared" si="19"/>
        <v>1371262.5</v>
      </c>
      <c r="V9" s="99">
        <f t="shared" si="19"/>
        <v>1371262.5</v>
      </c>
      <c r="W9" s="99">
        <f t="shared" si="19"/>
        <v>685631.25</v>
      </c>
      <c r="X9" s="99">
        <f t="shared" si="19"/>
        <v>685631.25</v>
      </c>
      <c r="Y9" s="99">
        <f t="shared" si="19"/>
        <v>685631.25</v>
      </c>
      <c r="Z9" s="99">
        <f t="shared" si="19"/>
        <v>685631.25</v>
      </c>
      <c r="AA9" s="99">
        <f t="shared" si="19"/>
        <v>1371262.5</v>
      </c>
      <c r="AB9" s="99">
        <f t="shared" si="19"/>
        <v>457087.5</v>
      </c>
      <c r="AC9" s="99">
        <f t="shared" si="8"/>
        <v>12112818.75</v>
      </c>
      <c r="AD9" s="99">
        <f>AD10+AD11</f>
        <v>1371262.5</v>
      </c>
      <c r="AE9" s="99">
        <f aca="true" t="shared" si="20" ref="AE9:AO9">AE10+AE11</f>
        <v>1371262.5</v>
      </c>
      <c r="AF9" s="99">
        <f t="shared" si="20"/>
        <v>685631.25</v>
      </c>
      <c r="AG9" s="99">
        <f t="shared" si="20"/>
        <v>1371262.5</v>
      </c>
      <c r="AH9" s="99">
        <f t="shared" si="20"/>
        <v>1371262.5</v>
      </c>
      <c r="AI9" s="99">
        <f t="shared" si="20"/>
        <v>1371262.5</v>
      </c>
      <c r="AJ9" s="99">
        <f t="shared" si="20"/>
        <v>685631.25</v>
      </c>
      <c r="AK9" s="99">
        <f t="shared" si="20"/>
        <v>685631.25</v>
      </c>
      <c r="AL9" s="99">
        <f t="shared" si="20"/>
        <v>685631.25</v>
      </c>
      <c r="AM9" s="99">
        <f t="shared" si="20"/>
        <v>685631.25</v>
      </c>
      <c r="AN9" s="99">
        <f t="shared" si="20"/>
        <v>1371262.5</v>
      </c>
      <c r="AO9" s="99">
        <f t="shared" si="20"/>
        <v>457087.5</v>
      </c>
      <c r="AP9" s="99">
        <f t="shared" si="10"/>
        <v>12112818.75</v>
      </c>
      <c r="AQ9" s="10"/>
      <c r="AR9" s="101" t="s">
        <v>61</v>
      </c>
      <c r="AS9" s="101"/>
      <c r="AT9" s="101"/>
      <c r="AU9" s="101"/>
      <c r="AV9" s="101"/>
      <c r="AW9" s="101"/>
      <c r="AX9" s="101"/>
      <c r="AY9" s="101"/>
      <c r="AZ9" s="101"/>
      <c r="BA9" s="10"/>
      <c r="BB9" s="10"/>
    </row>
    <row r="10" spans="1:54" ht="15">
      <c r="A10" s="24" t="s">
        <v>4</v>
      </c>
      <c r="B10" s="1" t="s">
        <v>136</v>
      </c>
      <c r="C10" s="1"/>
      <c r="D10" s="50">
        <f>D11*$AW$10</f>
        <v>16132.5</v>
      </c>
      <c r="E10" s="50">
        <f aca="true" t="shared" si="21" ref="E10:O10">E11*$AW$10</f>
        <v>18821.25</v>
      </c>
      <c r="F10" s="50">
        <f t="shared" si="21"/>
        <v>10755</v>
      </c>
      <c r="G10" s="50">
        <f t="shared" si="21"/>
        <v>22854.375</v>
      </c>
      <c r="H10" s="50">
        <f t="shared" si="21"/>
        <v>24198.75</v>
      </c>
      <c r="I10" s="50">
        <f t="shared" si="21"/>
        <v>25543.125</v>
      </c>
      <c r="J10" s="50">
        <f t="shared" si="21"/>
        <v>13443.75</v>
      </c>
      <c r="K10" s="50">
        <f t="shared" si="21"/>
        <v>13443.75</v>
      </c>
      <c r="L10" s="50">
        <f t="shared" si="21"/>
        <v>13443.75</v>
      </c>
      <c r="M10" s="50">
        <f t="shared" si="21"/>
        <v>13443.75</v>
      </c>
      <c r="N10" s="50">
        <f t="shared" si="21"/>
        <v>26887.5</v>
      </c>
      <c r="O10" s="50">
        <f t="shared" si="21"/>
        <v>8962.5</v>
      </c>
      <c r="P10" s="18">
        <f t="shared" si="18"/>
        <v>207930</v>
      </c>
      <c r="Q10" s="50">
        <f>Q11*$AW$10</f>
        <v>26887.5</v>
      </c>
      <c r="R10" s="50">
        <f aca="true" t="shared" si="22" ref="R10:AB10">R11*$AW$10</f>
        <v>26887.5</v>
      </c>
      <c r="S10" s="50">
        <f t="shared" si="22"/>
        <v>13443.75</v>
      </c>
      <c r="T10" s="50">
        <f t="shared" si="22"/>
        <v>26887.5</v>
      </c>
      <c r="U10" s="50">
        <f t="shared" si="22"/>
        <v>26887.5</v>
      </c>
      <c r="V10" s="50">
        <f t="shared" si="22"/>
        <v>26887.5</v>
      </c>
      <c r="W10" s="50">
        <f t="shared" si="22"/>
        <v>13443.75</v>
      </c>
      <c r="X10" s="50">
        <f t="shared" si="22"/>
        <v>13443.75</v>
      </c>
      <c r="Y10" s="50">
        <f t="shared" si="22"/>
        <v>13443.75</v>
      </c>
      <c r="Z10" s="50">
        <f t="shared" si="22"/>
        <v>13443.75</v>
      </c>
      <c r="AA10" s="50">
        <f t="shared" si="22"/>
        <v>26887.5</v>
      </c>
      <c r="AB10" s="50">
        <f t="shared" si="22"/>
        <v>8962.5</v>
      </c>
      <c r="AC10" s="18">
        <f t="shared" si="8"/>
        <v>237506.25</v>
      </c>
      <c r="AD10" s="50">
        <f>AD11*$AW$10</f>
        <v>26887.5</v>
      </c>
      <c r="AE10" s="50">
        <f aca="true" t="shared" si="23" ref="AE10:AO10">AE11*$AW$10</f>
        <v>26887.5</v>
      </c>
      <c r="AF10" s="50">
        <f t="shared" si="23"/>
        <v>13443.75</v>
      </c>
      <c r="AG10" s="50">
        <f t="shared" si="23"/>
        <v>26887.5</v>
      </c>
      <c r="AH10" s="50">
        <f t="shared" si="23"/>
        <v>26887.5</v>
      </c>
      <c r="AI10" s="50">
        <f t="shared" si="23"/>
        <v>26887.5</v>
      </c>
      <c r="AJ10" s="50">
        <f t="shared" si="23"/>
        <v>13443.75</v>
      </c>
      <c r="AK10" s="50">
        <f t="shared" si="23"/>
        <v>13443.75</v>
      </c>
      <c r="AL10" s="50">
        <f t="shared" si="23"/>
        <v>13443.75</v>
      </c>
      <c r="AM10" s="50">
        <f t="shared" si="23"/>
        <v>13443.75</v>
      </c>
      <c r="AN10" s="50">
        <f t="shared" si="23"/>
        <v>26887.5</v>
      </c>
      <c r="AO10" s="50">
        <f t="shared" si="23"/>
        <v>8962.5</v>
      </c>
      <c r="AP10" s="18">
        <f t="shared" si="10"/>
        <v>237506.25</v>
      </c>
      <c r="AQ10" s="10"/>
      <c r="AR10" s="25" t="s">
        <v>100</v>
      </c>
      <c r="AS10" s="1"/>
      <c r="AT10" s="22"/>
      <c r="AU10" s="15"/>
      <c r="AV10" s="22"/>
      <c r="AW10" s="82">
        <v>0.02</v>
      </c>
      <c r="AX10" s="22" t="s">
        <v>101</v>
      </c>
      <c r="AY10" s="22"/>
      <c r="AZ10" s="22"/>
      <c r="BA10" s="10"/>
      <c r="BB10" s="10"/>
    </row>
    <row r="11" spans="1:79" ht="15">
      <c r="A11" s="24" t="s">
        <v>6</v>
      </c>
      <c r="B11" s="1" t="s">
        <v>5</v>
      </c>
      <c r="C11" s="1"/>
      <c r="D11" s="50">
        <f aca="true" t="shared" si="24" ref="D11:O11">SUM(D12:D13)</f>
        <v>806625</v>
      </c>
      <c r="E11" s="50">
        <f t="shared" si="24"/>
        <v>941062.5</v>
      </c>
      <c r="F11" s="50">
        <f t="shared" si="24"/>
        <v>537750</v>
      </c>
      <c r="G11" s="50">
        <f t="shared" si="24"/>
        <v>1142718.75</v>
      </c>
      <c r="H11" s="50">
        <f t="shared" si="24"/>
        <v>1209937.5</v>
      </c>
      <c r="I11" s="50">
        <f t="shared" si="24"/>
        <v>1277156.25</v>
      </c>
      <c r="J11" s="50">
        <f t="shared" si="24"/>
        <v>672187.5</v>
      </c>
      <c r="K11" s="50">
        <f t="shared" si="24"/>
        <v>672187.5</v>
      </c>
      <c r="L11" s="50">
        <f t="shared" si="24"/>
        <v>672187.5</v>
      </c>
      <c r="M11" s="50">
        <f t="shared" si="24"/>
        <v>672187.5</v>
      </c>
      <c r="N11" s="50">
        <f t="shared" si="24"/>
        <v>1344375</v>
      </c>
      <c r="O11" s="50">
        <f t="shared" si="24"/>
        <v>448125</v>
      </c>
      <c r="P11" s="18">
        <f>SUM(D11:O11)</f>
        <v>10396500</v>
      </c>
      <c r="Q11" s="50">
        <f aca="true" t="shared" si="25" ref="Q11:AB11">SUM(Q12:Q13)</f>
        <v>1344375</v>
      </c>
      <c r="R11" s="50">
        <f t="shared" si="25"/>
        <v>1344375</v>
      </c>
      <c r="S11" s="50">
        <f t="shared" si="25"/>
        <v>672187.5</v>
      </c>
      <c r="T11" s="50">
        <f t="shared" si="25"/>
        <v>1344375</v>
      </c>
      <c r="U11" s="50">
        <f t="shared" si="25"/>
        <v>1344375</v>
      </c>
      <c r="V11" s="50">
        <f t="shared" si="25"/>
        <v>1344375</v>
      </c>
      <c r="W11" s="50">
        <f t="shared" si="25"/>
        <v>672187.5</v>
      </c>
      <c r="X11" s="50">
        <f t="shared" si="25"/>
        <v>672187.5</v>
      </c>
      <c r="Y11" s="50">
        <f t="shared" si="25"/>
        <v>672187.5</v>
      </c>
      <c r="Z11" s="50">
        <f t="shared" si="25"/>
        <v>672187.5</v>
      </c>
      <c r="AA11" s="50">
        <f t="shared" si="25"/>
        <v>1344375</v>
      </c>
      <c r="AB11" s="50">
        <f t="shared" si="25"/>
        <v>448125</v>
      </c>
      <c r="AC11" s="18">
        <f t="shared" si="8"/>
        <v>11875312.5</v>
      </c>
      <c r="AD11" s="50">
        <f aca="true" t="shared" si="26" ref="AD11:AO11">SUM(AD12:AD13)</f>
        <v>1344375</v>
      </c>
      <c r="AE11" s="50">
        <f t="shared" si="26"/>
        <v>1344375</v>
      </c>
      <c r="AF11" s="50">
        <f t="shared" si="26"/>
        <v>672187.5</v>
      </c>
      <c r="AG11" s="50">
        <f t="shared" si="26"/>
        <v>1344375</v>
      </c>
      <c r="AH11" s="50">
        <f t="shared" si="26"/>
        <v>1344375</v>
      </c>
      <c r="AI11" s="50">
        <f t="shared" si="26"/>
        <v>1344375</v>
      </c>
      <c r="AJ11" s="50">
        <f t="shared" si="26"/>
        <v>672187.5</v>
      </c>
      <c r="AK11" s="50">
        <f t="shared" si="26"/>
        <v>672187.5</v>
      </c>
      <c r="AL11" s="50">
        <f t="shared" si="26"/>
        <v>672187.5</v>
      </c>
      <c r="AM11" s="50">
        <f t="shared" si="26"/>
        <v>672187.5</v>
      </c>
      <c r="AN11" s="50">
        <f t="shared" si="26"/>
        <v>1344375</v>
      </c>
      <c r="AO11" s="50">
        <f t="shared" si="26"/>
        <v>448125</v>
      </c>
      <c r="AP11" s="18">
        <f t="shared" si="10"/>
        <v>11875312.5</v>
      </c>
      <c r="AQ11" s="10"/>
      <c r="AR11" s="25" t="s">
        <v>5</v>
      </c>
      <c r="AS11" s="25"/>
      <c r="AT11" s="22"/>
      <c r="AU11" s="15"/>
      <c r="AV11" s="15"/>
      <c r="AW11" s="15"/>
      <c r="AX11" s="15"/>
      <c r="AY11" s="15"/>
      <c r="AZ11" s="15"/>
      <c r="BA11" s="10"/>
      <c r="BB11" s="10"/>
      <c r="CA11" s="3" t="s">
        <v>62</v>
      </c>
    </row>
    <row r="12" spans="1:84" ht="15.75" customHeight="1">
      <c r="A12" s="24"/>
      <c r="B12" s="25" t="s">
        <v>107</v>
      </c>
      <c r="C12" s="1" t="s">
        <v>112</v>
      </c>
      <c r="D12" s="50">
        <f>$AW$12*D7</f>
        <v>401625</v>
      </c>
      <c r="E12" s="50">
        <f aca="true" t="shared" si="27" ref="E12:O12">$AW$12*E7</f>
        <v>468562.5</v>
      </c>
      <c r="F12" s="16">
        <f t="shared" si="27"/>
        <v>267750</v>
      </c>
      <c r="G12" s="16">
        <f t="shared" si="27"/>
        <v>568968.75</v>
      </c>
      <c r="H12" s="16">
        <f t="shared" si="27"/>
        <v>602437.5</v>
      </c>
      <c r="I12" s="16">
        <f t="shared" si="27"/>
        <v>635906.25</v>
      </c>
      <c r="J12" s="16">
        <f t="shared" si="27"/>
        <v>334687.5</v>
      </c>
      <c r="K12" s="16">
        <f t="shared" si="27"/>
        <v>334687.5</v>
      </c>
      <c r="L12" s="16">
        <f t="shared" si="27"/>
        <v>334687.5</v>
      </c>
      <c r="M12" s="16">
        <f t="shared" si="27"/>
        <v>334687.5</v>
      </c>
      <c r="N12" s="16">
        <f t="shared" si="27"/>
        <v>669375</v>
      </c>
      <c r="O12" s="16">
        <f t="shared" si="27"/>
        <v>223125</v>
      </c>
      <c r="P12" s="18">
        <f>SUM(D12:O12)</f>
        <v>5176500</v>
      </c>
      <c r="Q12" s="50">
        <f>$AW$12*Q7</f>
        <v>669375</v>
      </c>
      <c r="R12" s="50">
        <f aca="true" t="shared" si="28" ref="R12:AB12">$AW$12*R7</f>
        <v>669375</v>
      </c>
      <c r="S12" s="16">
        <f t="shared" si="28"/>
        <v>334687.5</v>
      </c>
      <c r="T12" s="16">
        <f t="shared" si="28"/>
        <v>669375</v>
      </c>
      <c r="U12" s="16">
        <f t="shared" si="28"/>
        <v>669375</v>
      </c>
      <c r="V12" s="16">
        <f t="shared" si="28"/>
        <v>669375</v>
      </c>
      <c r="W12" s="16">
        <f t="shared" si="28"/>
        <v>334687.5</v>
      </c>
      <c r="X12" s="16">
        <f t="shared" si="28"/>
        <v>334687.5</v>
      </c>
      <c r="Y12" s="16">
        <f t="shared" si="28"/>
        <v>334687.5</v>
      </c>
      <c r="Z12" s="16">
        <f t="shared" si="28"/>
        <v>334687.5</v>
      </c>
      <c r="AA12" s="16">
        <f t="shared" si="28"/>
        <v>669375</v>
      </c>
      <c r="AB12" s="16">
        <f t="shared" si="28"/>
        <v>223125</v>
      </c>
      <c r="AC12" s="18">
        <f t="shared" si="8"/>
        <v>5912812.5</v>
      </c>
      <c r="AD12" s="50">
        <f>$AW$12*AD7</f>
        <v>669375</v>
      </c>
      <c r="AE12" s="50">
        <f aca="true" t="shared" si="29" ref="AE12:AO12">$AW$12*AE7</f>
        <v>669375</v>
      </c>
      <c r="AF12" s="16">
        <f t="shared" si="29"/>
        <v>334687.5</v>
      </c>
      <c r="AG12" s="16">
        <f t="shared" si="29"/>
        <v>669375</v>
      </c>
      <c r="AH12" s="16">
        <f t="shared" si="29"/>
        <v>669375</v>
      </c>
      <c r="AI12" s="16">
        <f t="shared" si="29"/>
        <v>669375</v>
      </c>
      <c r="AJ12" s="16">
        <f t="shared" si="29"/>
        <v>334687.5</v>
      </c>
      <c r="AK12" s="16">
        <f t="shared" si="29"/>
        <v>334687.5</v>
      </c>
      <c r="AL12" s="16">
        <f t="shared" si="29"/>
        <v>334687.5</v>
      </c>
      <c r="AM12" s="16">
        <f t="shared" si="29"/>
        <v>334687.5</v>
      </c>
      <c r="AN12" s="16">
        <f t="shared" si="29"/>
        <v>669375</v>
      </c>
      <c r="AO12" s="16">
        <f t="shared" si="29"/>
        <v>223125</v>
      </c>
      <c r="AP12" s="18">
        <f t="shared" si="10"/>
        <v>5912812.5</v>
      </c>
      <c r="AQ12" s="10"/>
      <c r="AR12" s="25"/>
      <c r="AS12" s="25" t="s">
        <v>111</v>
      </c>
      <c r="AT12" s="22"/>
      <c r="AU12" s="15"/>
      <c r="AV12" s="15"/>
      <c r="AW12" s="109">
        <v>0.75</v>
      </c>
      <c r="AX12" s="22" t="s">
        <v>64</v>
      </c>
      <c r="AY12" s="22"/>
      <c r="AZ12" s="22"/>
      <c r="BA12" s="10"/>
      <c r="BB12" s="10"/>
      <c r="CA12" s="3" t="s">
        <v>63</v>
      </c>
      <c r="CB12" s="3" t="s">
        <v>63</v>
      </c>
      <c r="CC12" s="88">
        <v>0.5</v>
      </c>
      <c r="CF12" s="57"/>
    </row>
    <row r="13" spans="1:84" ht="15">
      <c r="A13" s="24"/>
      <c r="B13" s="25" t="s">
        <v>108</v>
      </c>
      <c r="C13" s="1" t="s">
        <v>113</v>
      </c>
      <c r="D13" s="50">
        <f>$AW$13*D8</f>
        <v>405000</v>
      </c>
      <c r="E13" s="50">
        <f aca="true" t="shared" si="30" ref="E13:O13">$AW$13*E8</f>
        <v>472500</v>
      </c>
      <c r="F13" s="50">
        <f t="shared" si="30"/>
        <v>270000</v>
      </c>
      <c r="G13" s="50">
        <f t="shared" si="30"/>
        <v>573750</v>
      </c>
      <c r="H13" s="50">
        <f t="shared" si="30"/>
        <v>607500</v>
      </c>
      <c r="I13" s="50">
        <f t="shared" si="30"/>
        <v>641250</v>
      </c>
      <c r="J13" s="50">
        <f t="shared" si="30"/>
        <v>337500</v>
      </c>
      <c r="K13" s="50">
        <f t="shared" si="30"/>
        <v>337500</v>
      </c>
      <c r="L13" s="50">
        <f t="shared" si="30"/>
        <v>337500</v>
      </c>
      <c r="M13" s="50">
        <f t="shared" si="30"/>
        <v>337500</v>
      </c>
      <c r="N13" s="50">
        <f t="shared" si="30"/>
        <v>675000</v>
      </c>
      <c r="O13" s="50">
        <f t="shared" si="30"/>
        <v>225000</v>
      </c>
      <c r="P13" s="18">
        <f>SUM(D13:O13)</f>
        <v>5220000</v>
      </c>
      <c r="Q13" s="50">
        <f>$AW$13*Q8</f>
        <v>675000</v>
      </c>
      <c r="R13" s="50">
        <f aca="true" t="shared" si="31" ref="R13:AB13">$AW$13*R8</f>
        <v>675000</v>
      </c>
      <c r="S13" s="50">
        <f t="shared" si="31"/>
        <v>337500</v>
      </c>
      <c r="T13" s="50">
        <f t="shared" si="31"/>
        <v>675000</v>
      </c>
      <c r="U13" s="50">
        <f t="shared" si="31"/>
        <v>675000</v>
      </c>
      <c r="V13" s="50">
        <f t="shared" si="31"/>
        <v>675000</v>
      </c>
      <c r="W13" s="50">
        <f t="shared" si="31"/>
        <v>337500</v>
      </c>
      <c r="X13" s="50">
        <f t="shared" si="31"/>
        <v>337500</v>
      </c>
      <c r="Y13" s="50">
        <f t="shared" si="31"/>
        <v>337500</v>
      </c>
      <c r="Z13" s="50">
        <f t="shared" si="31"/>
        <v>337500</v>
      </c>
      <c r="AA13" s="50">
        <f t="shared" si="31"/>
        <v>675000</v>
      </c>
      <c r="AB13" s="50">
        <f t="shared" si="31"/>
        <v>225000</v>
      </c>
      <c r="AC13" s="18">
        <f t="shared" si="8"/>
        <v>5962500</v>
      </c>
      <c r="AD13" s="50">
        <f>$AW$13*AD8</f>
        <v>675000</v>
      </c>
      <c r="AE13" s="50">
        <f aca="true" t="shared" si="32" ref="AE13:AO13">$AW$13*AE8</f>
        <v>675000</v>
      </c>
      <c r="AF13" s="50">
        <f t="shared" si="32"/>
        <v>337500</v>
      </c>
      <c r="AG13" s="50">
        <f t="shared" si="32"/>
        <v>675000</v>
      </c>
      <c r="AH13" s="50">
        <f t="shared" si="32"/>
        <v>675000</v>
      </c>
      <c r="AI13" s="50">
        <f t="shared" si="32"/>
        <v>675000</v>
      </c>
      <c r="AJ13" s="50">
        <f t="shared" si="32"/>
        <v>337500</v>
      </c>
      <c r="AK13" s="50">
        <f t="shared" si="32"/>
        <v>337500</v>
      </c>
      <c r="AL13" s="50">
        <f t="shared" si="32"/>
        <v>337500</v>
      </c>
      <c r="AM13" s="50">
        <f t="shared" si="32"/>
        <v>337500</v>
      </c>
      <c r="AN13" s="50">
        <f t="shared" si="32"/>
        <v>675000</v>
      </c>
      <c r="AO13" s="50">
        <f t="shared" si="32"/>
        <v>225000</v>
      </c>
      <c r="AP13" s="18">
        <f t="shared" si="10"/>
        <v>5962500</v>
      </c>
      <c r="AQ13" s="10"/>
      <c r="AR13" s="25"/>
      <c r="AS13" s="25" t="s">
        <v>140</v>
      </c>
      <c r="AT13" s="22"/>
      <c r="AU13" s="15"/>
      <c r="AV13" s="22"/>
      <c r="AW13" s="109">
        <v>0.6</v>
      </c>
      <c r="AX13" s="22" t="s">
        <v>64</v>
      </c>
      <c r="AY13" s="22"/>
      <c r="AZ13" s="22"/>
      <c r="BA13" s="10"/>
      <c r="BB13" s="10"/>
      <c r="CA13" s="3" t="s">
        <v>65</v>
      </c>
      <c r="CB13" s="3" t="s">
        <v>65</v>
      </c>
      <c r="CC13" s="88">
        <v>1.5</v>
      </c>
      <c r="CF13" s="57"/>
    </row>
    <row r="14" spans="1:84" ht="15" customHeight="1">
      <c r="A14" s="92" t="s">
        <v>7</v>
      </c>
      <c r="B14" s="92"/>
      <c r="C14" s="92"/>
      <c r="D14" s="99">
        <f aca="true" t="shared" si="33" ref="D14:O14">D6-D9</f>
        <v>387742.5</v>
      </c>
      <c r="E14" s="99">
        <f t="shared" si="33"/>
        <v>452366.25</v>
      </c>
      <c r="F14" s="99">
        <f t="shared" si="33"/>
        <v>258495</v>
      </c>
      <c r="G14" s="99">
        <f t="shared" si="33"/>
        <v>549301.875</v>
      </c>
      <c r="H14" s="99">
        <f t="shared" si="33"/>
        <v>581613.75</v>
      </c>
      <c r="I14" s="99">
        <f t="shared" si="33"/>
        <v>613925.625</v>
      </c>
      <c r="J14" s="99">
        <f t="shared" si="33"/>
        <v>323118.75</v>
      </c>
      <c r="K14" s="99">
        <f t="shared" si="33"/>
        <v>323118.75</v>
      </c>
      <c r="L14" s="99">
        <f t="shared" si="33"/>
        <v>323118.75</v>
      </c>
      <c r="M14" s="99">
        <f t="shared" si="33"/>
        <v>323118.75</v>
      </c>
      <c r="N14" s="99">
        <f t="shared" si="33"/>
        <v>646237.5</v>
      </c>
      <c r="O14" s="99">
        <f t="shared" si="33"/>
        <v>215412.5</v>
      </c>
      <c r="P14" s="99">
        <f t="shared" si="18"/>
        <v>4997570</v>
      </c>
      <c r="Q14" s="99">
        <f aca="true" t="shared" si="34" ref="Q14:AB14">Q6-Q9</f>
        <v>646237.5</v>
      </c>
      <c r="R14" s="99">
        <f t="shared" si="34"/>
        <v>646237.5</v>
      </c>
      <c r="S14" s="99">
        <f t="shared" si="34"/>
        <v>323118.75</v>
      </c>
      <c r="T14" s="99">
        <f t="shared" si="34"/>
        <v>646237.5</v>
      </c>
      <c r="U14" s="99">
        <f t="shared" si="34"/>
        <v>646237.5</v>
      </c>
      <c r="V14" s="99">
        <f t="shared" si="34"/>
        <v>646237.5</v>
      </c>
      <c r="W14" s="99">
        <f t="shared" si="34"/>
        <v>323118.75</v>
      </c>
      <c r="X14" s="99">
        <f t="shared" si="34"/>
        <v>323118.75</v>
      </c>
      <c r="Y14" s="99">
        <f t="shared" si="34"/>
        <v>323118.75</v>
      </c>
      <c r="Z14" s="99">
        <f t="shared" si="34"/>
        <v>323118.75</v>
      </c>
      <c r="AA14" s="99">
        <f t="shared" si="34"/>
        <v>646237.5</v>
      </c>
      <c r="AB14" s="99">
        <f t="shared" si="34"/>
        <v>215412.5</v>
      </c>
      <c r="AC14" s="99">
        <f t="shared" si="8"/>
        <v>5708431.25</v>
      </c>
      <c r="AD14" s="99">
        <f aca="true" t="shared" si="35" ref="AD14:AO14">AD6-AD9</f>
        <v>646237.5</v>
      </c>
      <c r="AE14" s="99">
        <f t="shared" si="35"/>
        <v>646237.5</v>
      </c>
      <c r="AF14" s="99">
        <f t="shared" si="35"/>
        <v>323118.75</v>
      </c>
      <c r="AG14" s="99">
        <f t="shared" si="35"/>
        <v>646237.5</v>
      </c>
      <c r="AH14" s="99">
        <f t="shared" si="35"/>
        <v>646237.5</v>
      </c>
      <c r="AI14" s="99">
        <f t="shared" si="35"/>
        <v>646237.5</v>
      </c>
      <c r="AJ14" s="99">
        <f t="shared" si="35"/>
        <v>323118.75</v>
      </c>
      <c r="AK14" s="99">
        <f t="shared" si="35"/>
        <v>323118.75</v>
      </c>
      <c r="AL14" s="99">
        <f t="shared" si="35"/>
        <v>323118.75</v>
      </c>
      <c r="AM14" s="99">
        <f t="shared" si="35"/>
        <v>323118.75</v>
      </c>
      <c r="AN14" s="99">
        <f t="shared" si="35"/>
        <v>646237.5</v>
      </c>
      <c r="AO14" s="99">
        <f t="shared" si="35"/>
        <v>215412.5</v>
      </c>
      <c r="AP14" s="99">
        <f t="shared" si="10"/>
        <v>5708431.25</v>
      </c>
      <c r="AQ14" s="10"/>
      <c r="AR14" s="101" t="s">
        <v>69</v>
      </c>
      <c r="AS14" s="101"/>
      <c r="AT14" s="101"/>
      <c r="AU14" s="101"/>
      <c r="AV14" s="101"/>
      <c r="AW14" s="101"/>
      <c r="AX14" s="101"/>
      <c r="AY14" s="101"/>
      <c r="AZ14" s="101"/>
      <c r="BA14" s="10"/>
      <c r="BB14" s="10"/>
      <c r="CA14" s="3" t="s">
        <v>66</v>
      </c>
      <c r="CB14" s="3" t="s">
        <v>66</v>
      </c>
      <c r="CC14" s="88">
        <v>1.5</v>
      </c>
      <c r="CF14" s="57"/>
    </row>
    <row r="15" spans="1:84" ht="15">
      <c r="A15" s="65" t="s">
        <v>8</v>
      </c>
      <c r="B15" s="65" t="s">
        <v>9</v>
      </c>
      <c r="C15" s="66"/>
      <c r="D15" s="67">
        <f aca="true" t="shared" si="36" ref="D15:O15">D16+D21+D25+D32+D33</f>
        <v>195230.60344827586</v>
      </c>
      <c r="E15" s="67">
        <f t="shared" si="36"/>
        <v>197248.10344827586</v>
      </c>
      <c r="F15" s="68">
        <f t="shared" si="36"/>
        <v>191195.60344827586</v>
      </c>
      <c r="G15" s="68">
        <f t="shared" si="36"/>
        <v>200274.35344827586</v>
      </c>
      <c r="H15" s="68">
        <f t="shared" si="36"/>
        <v>201283.10344827586</v>
      </c>
      <c r="I15" s="68">
        <f t="shared" si="36"/>
        <v>202291.85344827586</v>
      </c>
      <c r="J15" s="68">
        <f t="shared" si="36"/>
        <v>193213.10344827586</v>
      </c>
      <c r="K15" s="68">
        <f t="shared" si="36"/>
        <v>193213.10344827586</v>
      </c>
      <c r="L15" s="68">
        <f t="shared" si="36"/>
        <v>193213.10344827586</v>
      </c>
      <c r="M15" s="68">
        <f t="shared" si="36"/>
        <v>193213.10344827586</v>
      </c>
      <c r="N15" s="68">
        <f t="shared" si="36"/>
        <v>203300.60344827586</v>
      </c>
      <c r="O15" s="69">
        <f t="shared" si="36"/>
        <v>189850.60344827586</v>
      </c>
      <c r="P15" s="69">
        <f>SUM(D15:O15)</f>
        <v>2353527.241379311</v>
      </c>
      <c r="Q15" s="67">
        <f aca="true" t="shared" si="37" ref="Q15:AB15">Q16+Q21+Q25+Q32+Q33</f>
        <v>203300.60344827586</v>
      </c>
      <c r="R15" s="67">
        <f t="shared" si="37"/>
        <v>203300.60344827586</v>
      </c>
      <c r="S15" s="68">
        <f t="shared" si="37"/>
        <v>193213.10344827586</v>
      </c>
      <c r="T15" s="68">
        <f t="shared" si="37"/>
        <v>203300.60344827586</v>
      </c>
      <c r="U15" s="68">
        <f t="shared" si="37"/>
        <v>203300.60344827586</v>
      </c>
      <c r="V15" s="68">
        <f t="shared" si="37"/>
        <v>203300.60344827586</v>
      </c>
      <c r="W15" s="68">
        <f t="shared" si="37"/>
        <v>193213.10344827586</v>
      </c>
      <c r="X15" s="68">
        <f t="shared" si="37"/>
        <v>193213.10344827586</v>
      </c>
      <c r="Y15" s="68">
        <f t="shared" si="37"/>
        <v>193213.10344827586</v>
      </c>
      <c r="Z15" s="68">
        <f t="shared" si="37"/>
        <v>193213.10344827586</v>
      </c>
      <c r="AA15" s="68">
        <f t="shared" si="37"/>
        <v>203300.60344827586</v>
      </c>
      <c r="AB15" s="69">
        <f t="shared" si="37"/>
        <v>189850.60344827586</v>
      </c>
      <c r="AC15" s="69">
        <f t="shared" si="8"/>
        <v>2375719.741379311</v>
      </c>
      <c r="AD15" s="67">
        <f aca="true" t="shared" si="38" ref="AD15:AO15">AD16+AD21+AD25+AD32+AD33</f>
        <v>203300.60344827586</v>
      </c>
      <c r="AE15" s="67">
        <f t="shared" si="38"/>
        <v>203300.60344827586</v>
      </c>
      <c r="AF15" s="68">
        <f t="shared" si="38"/>
        <v>193213.10344827586</v>
      </c>
      <c r="AG15" s="68">
        <f t="shared" si="38"/>
        <v>203300.60344827586</v>
      </c>
      <c r="AH15" s="68">
        <f t="shared" si="38"/>
        <v>203300.60344827586</v>
      </c>
      <c r="AI15" s="68">
        <f t="shared" si="38"/>
        <v>203300.60344827586</v>
      </c>
      <c r="AJ15" s="68">
        <f t="shared" si="38"/>
        <v>193213.10344827586</v>
      </c>
      <c r="AK15" s="68">
        <f t="shared" si="38"/>
        <v>193213.10344827586</v>
      </c>
      <c r="AL15" s="68">
        <f t="shared" si="38"/>
        <v>193213.10344827586</v>
      </c>
      <c r="AM15" s="68">
        <f t="shared" si="38"/>
        <v>193213.10344827586</v>
      </c>
      <c r="AN15" s="68">
        <f t="shared" si="38"/>
        <v>203300.60344827586</v>
      </c>
      <c r="AO15" s="69">
        <f t="shared" si="38"/>
        <v>189850.60344827586</v>
      </c>
      <c r="AP15" s="69">
        <f t="shared" si="10"/>
        <v>2375719.741379311</v>
      </c>
      <c r="AQ15" s="10"/>
      <c r="AR15" s="1"/>
      <c r="AS15" s="24"/>
      <c r="AT15" s="22"/>
      <c r="AU15" s="26"/>
      <c r="AV15" s="26"/>
      <c r="AW15" s="19"/>
      <c r="AX15" s="26"/>
      <c r="AY15" s="22"/>
      <c r="AZ15" s="22"/>
      <c r="BA15" s="10"/>
      <c r="BB15" s="10"/>
      <c r="CA15" s="3" t="s">
        <v>67</v>
      </c>
      <c r="CB15" s="3" t="s">
        <v>67</v>
      </c>
      <c r="CC15" s="88">
        <v>0.75</v>
      </c>
      <c r="CF15" s="57"/>
    </row>
    <row r="16" spans="1:84" ht="15">
      <c r="A16" s="24" t="s">
        <v>10</v>
      </c>
      <c r="B16" s="1" t="s">
        <v>68</v>
      </c>
      <c r="C16" s="24"/>
      <c r="D16" s="50">
        <f aca="true" t="shared" si="39" ref="D16:O16">SUM(D17:D20)</f>
        <v>92125.60344827586</v>
      </c>
      <c r="E16" s="50">
        <f t="shared" si="39"/>
        <v>92125.60344827586</v>
      </c>
      <c r="F16" s="16">
        <f t="shared" si="39"/>
        <v>92125.60344827586</v>
      </c>
      <c r="G16" s="16">
        <f t="shared" si="39"/>
        <v>92125.60344827586</v>
      </c>
      <c r="H16" s="16">
        <f t="shared" si="39"/>
        <v>92125.60344827586</v>
      </c>
      <c r="I16" s="16">
        <f t="shared" si="39"/>
        <v>92125.60344827586</v>
      </c>
      <c r="J16" s="16">
        <f t="shared" si="39"/>
        <v>92125.60344827586</v>
      </c>
      <c r="K16" s="16">
        <f t="shared" si="39"/>
        <v>92125.60344827586</v>
      </c>
      <c r="L16" s="16">
        <f t="shared" si="39"/>
        <v>92125.60344827586</v>
      </c>
      <c r="M16" s="16">
        <f t="shared" si="39"/>
        <v>92125.60344827586</v>
      </c>
      <c r="N16" s="16">
        <f t="shared" si="39"/>
        <v>92125.60344827586</v>
      </c>
      <c r="O16" s="17">
        <f t="shared" si="39"/>
        <v>92125.60344827586</v>
      </c>
      <c r="P16" s="17">
        <f t="shared" si="18"/>
        <v>1105507.2413793101</v>
      </c>
      <c r="Q16" s="50">
        <f aca="true" t="shared" si="40" ref="Q16:AB16">SUM(Q17:Q20)</f>
        <v>92125.60344827586</v>
      </c>
      <c r="R16" s="50">
        <f t="shared" si="40"/>
        <v>92125.60344827586</v>
      </c>
      <c r="S16" s="16">
        <f t="shared" si="40"/>
        <v>92125.60344827586</v>
      </c>
      <c r="T16" s="16">
        <f t="shared" si="40"/>
        <v>92125.60344827586</v>
      </c>
      <c r="U16" s="16">
        <f t="shared" si="40"/>
        <v>92125.60344827586</v>
      </c>
      <c r="V16" s="16">
        <f t="shared" si="40"/>
        <v>92125.60344827586</v>
      </c>
      <c r="W16" s="16">
        <f t="shared" si="40"/>
        <v>92125.60344827586</v>
      </c>
      <c r="X16" s="16">
        <f t="shared" si="40"/>
        <v>92125.60344827586</v>
      </c>
      <c r="Y16" s="16">
        <f t="shared" si="40"/>
        <v>92125.60344827586</v>
      </c>
      <c r="Z16" s="16">
        <f t="shared" si="40"/>
        <v>92125.60344827586</v>
      </c>
      <c r="AA16" s="16">
        <f t="shared" si="40"/>
        <v>92125.60344827586</v>
      </c>
      <c r="AB16" s="17">
        <f t="shared" si="40"/>
        <v>92125.60344827586</v>
      </c>
      <c r="AC16" s="17">
        <f t="shared" si="8"/>
        <v>1105507.2413793101</v>
      </c>
      <c r="AD16" s="50">
        <f aca="true" t="shared" si="41" ref="AD16:AO16">SUM(AD17:AD20)</f>
        <v>92125.60344827586</v>
      </c>
      <c r="AE16" s="50">
        <f t="shared" si="41"/>
        <v>92125.60344827586</v>
      </c>
      <c r="AF16" s="16">
        <f t="shared" si="41"/>
        <v>92125.60344827586</v>
      </c>
      <c r="AG16" s="16">
        <f t="shared" si="41"/>
        <v>92125.60344827586</v>
      </c>
      <c r="AH16" s="16">
        <f t="shared" si="41"/>
        <v>92125.60344827586</v>
      </c>
      <c r="AI16" s="16">
        <f t="shared" si="41"/>
        <v>92125.60344827586</v>
      </c>
      <c r="AJ16" s="16">
        <f t="shared" si="41"/>
        <v>92125.60344827586</v>
      </c>
      <c r="AK16" s="16">
        <f t="shared" si="41"/>
        <v>92125.60344827586</v>
      </c>
      <c r="AL16" s="16">
        <f t="shared" si="41"/>
        <v>92125.60344827586</v>
      </c>
      <c r="AM16" s="16">
        <f t="shared" si="41"/>
        <v>92125.60344827586</v>
      </c>
      <c r="AN16" s="16">
        <f t="shared" si="41"/>
        <v>92125.60344827586</v>
      </c>
      <c r="AO16" s="17">
        <f t="shared" si="41"/>
        <v>92125.60344827586</v>
      </c>
      <c r="AP16" s="17">
        <f t="shared" si="10"/>
        <v>1105507.2413793101</v>
      </c>
      <c r="AQ16" s="10"/>
      <c r="AR16" s="19" t="str">
        <f>C17</f>
        <v>ЗП продавцов-консультантов</v>
      </c>
      <c r="AS16" s="22"/>
      <c r="AT16" s="22"/>
      <c r="AU16" s="27"/>
      <c r="AV16" s="83">
        <v>30000</v>
      </c>
      <c r="AW16" s="23" t="s">
        <v>33</v>
      </c>
      <c r="AX16" s="83">
        <v>2</v>
      </c>
      <c r="AY16" s="22"/>
      <c r="AZ16" s="22"/>
      <c r="BA16" s="10"/>
      <c r="BB16" s="10"/>
      <c r="CA16" s="3" t="s">
        <v>40</v>
      </c>
      <c r="CB16" s="3" t="s">
        <v>40</v>
      </c>
      <c r="CC16" s="88">
        <v>1.5</v>
      </c>
      <c r="CF16" s="57"/>
    </row>
    <row r="17" spans="1:84" ht="15">
      <c r="A17" s="24"/>
      <c r="B17" s="19" t="s">
        <v>11</v>
      </c>
      <c r="C17" s="24" t="s">
        <v>123</v>
      </c>
      <c r="D17" s="50">
        <f aca="true" t="shared" si="42" ref="D17:O17">$AV$16*$AX$16/0.87</f>
        <v>68965.5172413793</v>
      </c>
      <c r="E17" s="50">
        <f t="shared" si="42"/>
        <v>68965.5172413793</v>
      </c>
      <c r="F17" s="16">
        <f t="shared" si="42"/>
        <v>68965.5172413793</v>
      </c>
      <c r="G17" s="16">
        <f t="shared" si="42"/>
        <v>68965.5172413793</v>
      </c>
      <c r="H17" s="16">
        <f t="shared" si="42"/>
        <v>68965.5172413793</v>
      </c>
      <c r="I17" s="16">
        <f t="shared" si="42"/>
        <v>68965.5172413793</v>
      </c>
      <c r="J17" s="16">
        <f t="shared" si="42"/>
        <v>68965.5172413793</v>
      </c>
      <c r="K17" s="16">
        <f t="shared" si="42"/>
        <v>68965.5172413793</v>
      </c>
      <c r="L17" s="16">
        <f t="shared" si="42"/>
        <v>68965.5172413793</v>
      </c>
      <c r="M17" s="16">
        <f t="shared" si="42"/>
        <v>68965.5172413793</v>
      </c>
      <c r="N17" s="16">
        <f t="shared" si="42"/>
        <v>68965.5172413793</v>
      </c>
      <c r="O17" s="17">
        <f t="shared" si="42"/>
        <v>68965.5172413793</v>
      </c>
      <c r="P17" s="17">
        <f t="shared" si="18"/>
        <v>827586.2068965514</v>
      </c>
      <c r="Q17" s="50">
        <f aca="true" t="shared" si="43" ref="Q17:AB17">$AV$16*$AX$16/0.87</f>
        <v>68965.5172413793</v>
      </c>
      <c r="R17" s="50">
        <f t="shared" si="43"/>
        <v>68965.5172413793</v>
      </c>
      <c r="S17" s="16">
        <f t="shared" si="43"/>
        <v>68965.5172413793</v>
      </c>
      <c r="T17" s="16">
        <f t="shared" si="43"/>
        <v>68965.5172413793</v>
      </c>
      <c r="U17" s="16">
        <f t="shared" si="43"/>
        <v>68965.5172413793</v>
      </c>
      <c r="V17" s="16">
        <f t="shared" si="43"/>
        <v>68965.5172413793</v>
      </c>
      <c r="W17" s="16">
        <f t="shared" si="43"/>
        <v>68965.5172413793</v>
      </c>
      <c r="X17" s="16">
        <f t="shared" si="43"/>
        <v>68965.5172413793</v>
      </c>
      <c r="Y17" s="16">
        <f t="shared" si="43"/>
        <v>68965.5172413793</v>
      </c>
      <c r="Z17" s="16">
        <f t="shared" si="43"/>
        <v>68965.5172413793</v>
      </c>
      <c r="AA17" s="16">
        <f t="shared" si="43"/>
        <v>68965.5172413793</v>
      </c>
      <c r="AB17" s="17">
        <f t="shared" si="43"/>
        <v>68965.5172413793</v>
      </c>
      <c r="AC17" s="17">
        <f t="shared" si="8"/>
        <v>827586.2068965514</v>
      </c>
      <c r="AD17" s="50">
        <f aca="true" t="shared" si="44" ref="AD17:AO17">$AV$16*$AX$16/0.87</f>
        <v>68965.5172413793</v>
      </c>
      <c r="AE17" s="50">
        <f t="shared" si="44"/>
        <v>68965.5172413793</v>
      </c>
      <c r="AF17" s="16">
        <f t="shared" si="44"/>
        <v>68965.5172413793</v>
      </c>
      <c r="AG17" s="16">
        <f t="shared" si="44"/>
        <v>68965.5172413793</v>
      </c>
      <c r="AH17" s="16">
        <f t="shared" si="44"/>
        <v>68965.5172413793</v>
      </c>
      <c r="AI17" s="16">
        <f t="shared" si="44"/>
        <v>68965.5172413793</v>
      </c>
      <c r="AJ17" s="16">
        <f t="shared" si="44"/>
        <v>68965.5172413793</v>
      </c>
      <c r="AK17" s="16">
        <f t="shared" si="44"/>
        <v>68965.5172413793</v>
      </c>
      <c r="AL17" s="16">
        <f t="shared" si="44"/>
        <v>68965.5172413793</v>
      </c>
      <c r="AM17" s="16">
        <f t="shared" si="44"/>
        <v>68965.5172413793</v>
      </c>
      <c r="AN17" s="16">
        <f t="shared" si="44"/>
        <v>68965.5172413793</v>
      </c>
      <c r="AO17" s="17">
        <f t="shared" si="44"/>
        <v>68965.5172413793</v>
      </c>
      <c r="AP17" s="17">
        <f t="shared" si="10"/>
        <v>827586.2068965514</v>
      </c>
      <c r="AQ17" s="10"/>
      <c r="AR17" s="19" t="str">
        <f>C18</f>
        <v>ЗП администратора</v>
      </c>
      <c r="AS17" s="22"/>
      <c r="AT17" s="22"/>
      <c r="AU17" s="27"/>
      <c r="AV17" s="83">
        <v>35000</v>
      </c>
      <c r="AW17" s="23" t="s">
        <v>33</v>
      </c>
      <c r="AX17" s="83">
        <f>IF(AT4="остров",0,(IF(AT4="Бутик 20-70 кв.м.",0,1)))</f>
        <v>0</v>
      </c>
      <c r="AY17" s="22"/>
      <c r="AZ17" s="22"/>
      <c r="BA17" s="10"/>
      <c r="BB17" s="10"/>
      <c r="CA17" s="3" t="s">
        <v>70</v>
      </c>
      <c r="CB17" s="3" t="s">
        <v>70</v>
      </c>
      <c r="CC17" s="88">
        <v>1.5</v>
      </c>
      <c r="CF17" s="57"/>
    </row>
    <row r="18" spans="1:84" ht="15">
      <c r="A18" s="24"/>
      <c r="B18" s="1" t="s">
        <v>12</v>
      </c>
      <c r="C18" s="24" t="s">
        <v>124</v>
      </c>
      <c r="D18" s="50">
        <f aca="true" t="shared" si="45" ref="D18:O18">$AV$17*$AX$17/0.87</f>
        <v>0</v>
      </c>
      <c r="E18" s="50">
        <f t="shared" si="45"/>
        <v>0</v>
      </c>
      <c r="F18" s="50">
        <f t="shared" si="45"/>
        <v>0</v>
      </c>
      <c r="G18" s="50">
        <f t="shared" si="45"/>
        <v>0</v>
      </c>
      <c r="H18" s="50">
        <f t="shared" si="45"/>
        <v>0</v>
      </c>
      <c r="I18" s="50">
        <f t="shared" si="45"/>
        <v>0</v>
      </c>
      <c r="J18" s="50">
        <f t="shared" si="45"/>
        <v>0</v>
      </c>
      <c r="K18" s="50">
        <f t="shared" si="45"/>
        <v>0</v>
      </c>
      <c r="L18" s="50">
        <f t="shared" si="45"/>
        <v>0</v>
      </c>
      <c r="M18" s="50">
        <f t="shared" si="45"/>
        <v>0</v>
      </c>
      <c r="N18" s="50">
        <f t="shared" si="45"/>
        <v>0</v>
      </c>
      <c r="O18" s="53">
        <f t="shared" si="45"/>
        <v>0</v>
      </c>
      <c r="P18" s="17">
        <f t="shared" si="18"/>
        <v>0</v>
      </c>
      <c r="Q18" s="50">
        <f aca="true" t="shared" si="46" ref="Q18:AB18">$AV$17*$AX$17/0.87</f>
        <v>0</v>
      </c>
      <c r="R18" s="50">
        <f t="shared" si="46"/>
        <v>0</v>
      </c>
      <c r="S18" s="50">
        <f t="shared" si="46"/>
        <v>0</v>
      </c>
      <c r="T18" s="50">
        <f t="shared" si="46"/>
        <v>0</v>
      </c>
      <c r="U18" s="50">
        <f t="shared" si="46"/>
        <v>0</v>
      </c>
      <c r="V18" s="50">
        <f t="shared" si="46"/>
        <v>0</v>
      </c>
      <c r="W18" s="50">
        <f t="shared" si="46"/>
        <v>0</v>
      </c>
      <c r="X18" s="50">
        <f t="shared" si="46"/>
        <v>0</v>
      </c>
      <c r="Y18" s="50">
        <f t="shared" si="46"/>
        <v>0</v>
      </c>
      <c r="Z18" s="50">
        <f t="shared" si="46"/>
        <v>0</v>
      </c>
      <c r="AA18" s="50">
        <f t="shared" si="46"/>
        <v>0</v>
      </c>
      <c r="AB18" s="53">
        <f t="shared" si="46"/>
        <v>0</v>
      </c>
      <c r="AC18" s="17">
        <f t="shared" si="8"/>
        <v>0</v>
      </c>
      <c r="AD18" s="50">
        <f aca="true" t="shared" si="47" ref="AD18:AO18">$AV$17*$AX$17/0.87</f>
        <v>0</v>
      </c>
      <c r="AE18" s="50">
        <f t="shared" si="47"/>
        <v>0</v>
      </c>
      <c r="AF18" s="50">
        <f t="shared" si="47"/>
        <v>0</v>
      </c>
      <c r="AG18" s="50">
        <f t="shared" si="47"/>
        <v>0</v>
      </c>
      <c r="AH18" s="50">
        <f t="shared" si="47"/>
        <v>0</v>
      </c>
      <c r="AI18" s="50">
        <f t="shared" si="47"/>
        <v>0</v>
      </c>
      <c r="AJ18" s="50">
        <f t="shared" si="47"/>
        <v>0</v>
      </c>
      <c r="AK18" s="50">
        <f t="shared" si="47"/>
        <v>0</v>
      </c>
      <c r="AL18" s="50">
        <f t="shared" si="47"/>
        <v>0</v>
      </c>
      <c r="AM18" s="50">
        <f t="shared" si="47"/>
        <v>0</v>
      </c>
      <c r="AN18" s="50">
        <f t="shared" si="47"/>
        <v>0</v>
      </c>
      <c r="AO18" s="53">
        <f t="shared" si="47"/>
        <v>0</v>
      </c>
      <c r="AP18" s="17">
        <f t="shared" si="10"/>
        <v>0</v>
      </c>
      <c r="AQ18" s="10"/>
      <c r="AR18" s="19"/>
      <c r="AS18" s="22"/>
      <c r="AT18" s="22"/>
      <c r="AU18" s="27"/>
      <c r="AV18" s="27"/>
      <c r="AW18" s="27"/>
      <c r="AX18" s="27"/>
      <c r="AY18" s="22"/>
      <c r="AZ18" s="22"/>
      <c r="BB18" s="10"/>
      <c r="BC18" s="10"/>
      <c r="CA18" s="3" t="s">
        <v>71</v>
      </c>
      <c r="CB18" s="3" t="s">
        <v>71</v>
      </c>
      <c r="CC18" s="88">
        <v>1.5</v>
      </c>
      <c r="CF18" s="57"/>
    </row>
    <row r="19" spans="1:84" ht="15">
      <c r="A19" s="24"/>
      <c r="B19" s="1" t="s">
        <v>103</v>
      </c>
      <c r="C19" s="24" t="s">
        <v>119</v>
      </c>
      <c r="D19" s="50">
        <f aca="true" t="shared" si="48" ref="D19:N19">$P$19/12</f>
        <v>2332.5</v>
      </c>
      <c r="E19" s="50">
        <f t="shared" si="48"/>
        <v>2332.5</v>
      </c>
      <c r="F19" s="50">
        <f t="shared" si="48"/>
        <v>2332.5</v>
      </c>
      <c r="G19" s="50">
        <f t="shared" si="48"/>
        <v>2332.5</v>
      </c>
      <c r="H19" s="50">
        <f t="shared" si="48"/>
        <v>2332.5</v>
      </c>
      <c r="I19" s="50">
        <f t="shared" si="48"/>
        <v>2332.5</v>
      </c>
      <c r="J19" s="50">
        <f t="shared" si="48"/>
        <v>2332.5</v>
      </c>
      <c r="K19" s="50">
        <f t="shared" si="48"/>
        <v>2332.5</v>
      </c>
      <c r="L19" s="50">
        <f t="shared" si="48"/>
        <v>2332.5</v>
      </c>
      <c r="M19" s="50">
        <f t="shared" si="48"/>
        <v>2332.5</v>
      </c>
      <c r="N19" s="50">
        <f t="shared" si="48"/>
        <v>2332.5</v>
      </c>
      <c r="O19" s="53">
        <f>$P$19/12</f>
        <v>2332.5</v>
      </c>
      <c r="P19" s="17">
        <v>27990</v>
      </c>
      <c r="Q19" s="50">
        <f aca="true" t="shared" si="49" ref="Q19:AA19">$P$19/12</f>
        <v>2332.5</v>
      </c>
      <c r="R19" s="50">
        <f t="shared" si="49"/>
        <v>2332.5</v>
      </c>
      <c r="S19" s="50">
        <f t="shared" si="49"/>
        <v>2332.5</v>
      </c>
      <c r="T19" s="50">
        <f t="shared" si="49"/>
        <v>2332.5</v>
      </c>
      <c r="U19" s="50">
        <f t="shared" si="49"/>
        <v>2332.5</v>
      </c>
      <c r="V19" s="50">
        <f t="shared" si="49"/>
        <v>2332.5</v>
      </c>
      <c r="W19" s="50">
        <f t="shared" si="49"/>
        <v>2332.5</v>
      </c>
      <c r="X19" s="50">
        <f t="shared" si="49"/>
        <v>2332.5</v>
      </c>
      <c r="Y19" s="50">
        <f t="shared" si="49"/>
        <v>2332.5</v>
      </c>
      <c r="Z19" s="50">
        <f t="shared" si="49"/>
        <v>2332.5</v>
      </c>
      <c r="AA19" s="50">
        <f t="shared" si="49"/>
        <v>2332.5</v>
      </c>
      <c r="AB19" s="53">
        <f>$P$19/12</f>
        <v>2332.5</v>
      </c>
      <c r="AC19" s="17">
        <v>27990</v>
      </c>
      <c r="AD19" s="50">
        <f aca="true" t="shared" si="50" ref="AD19:AN19">$P$19/12</f>
        <v>2332.5</v>
      </c>
      <c r="AE19" s="50">
        <f t="shared" si="50"/>
        <v>2332.5</v>
      </c>
      <c r="AF19" s="50">
        <f t="shared" si="50"/>
        <v>2332.5</v>
      </c>
      <c r="AG19" s="50">
        <f t="shared" si="50"/>
        <v>2332.5</v>
      </c>
      <c r="AH19" s="50">
        <f t="shared" si="50"/>
        <v>2332.5</v>
      </c>
      <c r="AI19" s="50">
        <f t="shared" si="50"/>
        <v>2332.5</v>
      </c>
      <c r="AJ19" s="50">
        <f t="shared" si="50"/>
        <v>2332.5</v>
      </c>
      <c r="AK19" s="50">
        <f t="shared" si="50"/>
        <v>2332.5</v>
      </c>
      <c r="AL19" s="50">
        <f t="shared" si="50"/>
        <v>2332.5</v>
      </c>
      <c r="AM19" s="50">
        <f t="shared" si="50"/>
        <v>2332.5</v>
      </c>
      <c r="AN19" s="50">
        <f t="shared" si="50"/>
        <v>2332.5</v>
      </c>
      <c r="AO19" s="53">
        <f>$P$19/12</f>
        <v>2332.5</v>
      </c>
      <c r="AP19" s="17">
        <v>27990</v>
      </c>
      <c r="AQ19" s="10"/>
      <c r="AR19" s="24" t="s">
        <v>72</v>
      </c>
      <c r="AS19" s="22"/>
      <c r="AT19" s="22"/>
      <c r="AU19" s="28" t="s">
        <v>34</v>
      </c>
      <c r="AV19" s="84">
        <v>0.302</v>
      </c>
      <c r="AW19" s="23"/>
      <c r="AX19" s="21"/>
      <c r="AY19" s="21"/>
      <c r="AZ19" s="22"/>
      <c r="BA19" s="10"/>
      <c r="BB19" s="10"/>
      <c r="CA19" s="3" t="s">
        <v>73</v>
      </c>
      <c r="CB19" s="3" t="s">
        <v>73</v>
      </c>
      <c r="CC19" s="88">
        <v>0.75</v>
      </c>
      <c r="CF19" s="57"/>
    </row>
    <row r="20" spans="1:84" ht="15">
      <c r="A20" s="24"/>
      <c r="B20" s="1" t="s">
        <v>104</v>
      </c>
      <c r="C20" s="24" t="s">
        <v>72</v>
      </c>
      <c r="D20" s="50">
        <f>$AV$19*SUM(D17:D18)</f>
        <v>20827.58620689655</v>
      </c>
      <c r="E20" s="50">
        <f aca="true" t="shared" si="51" ref="E20:O20">$AV$19*SUM(E17:E18)</f>
        <v>20827.58620689655</v>
      </c>
      <c r="F20" s="50">
        <f t="shared" si="51"/>
        <v>20827.58620689655</v>
      </c>
      <c r="G20" s="50">
        <f t="shared" si="51"/>
        <v>20827.58620689655</v>
      </c>
      <c r="H20" s="50">
        <f t="shared" si="51"/>
        <v>20827.58620689655</v>
      </c>
      <c r="I20" s="50">
        <f t="shared" si="51"/>
        <v>20827.58620689655</v>
      </c>
      <c r="J20" s="50">
        <f t="shared" si="51"/>
        <v>20827.58620689655</v>
      </c>
      <c r="K20" s="50">
        <f t="shared" si="51"/>
        <v>20827.58620689655</v>
      </c>
      <c r="L20" s="50">
        <f t="shared" si="51"/>
        <v>20827.58620689655</v>
      </c>
      <c r="M20" s="50">
        <f t="shared" si="51"/>
        <v>20827.58620689655</v>
      </c>
      <c r="N20" s="50">
        <f t="shared" si="51"/>
        <v>20827.58620689655</v>
      </c>
      <c r="O20" s="53">
        <f t="shared" si="51"/>
        <v>20827.58620689655</v>
      </c>
      <c r="P20" s="17">
        <f t="shared" si="18"/>
        <v>249931.0344827586</v>
      </c>
      <c r="Q20" s="50">
        <f>$AV$19*SUM(Q17:Q18)</f>
        <v>20827.58620689655</v>
      </c>
      <c r="R20" s="50">
        <f aca="true" t="shared" si="52" ref="R20:AB20">$AV$19*SUM(R17:R18)</f>
        <v>20827.58620689655</v>
      </c>
      <c r="S20" s="50">
        <f t="shared" si="52"/>
        <v>20827.58620689655</v>
      </c>
      <c r="T20" s="50">
        <f t="shared" si="52"/>
        <v>20827.58620689655</v>
      </c>
      <c r="U20" s="50">
        <f t="shared" si="52"/>
        <v>20827.58620689655</v>
      </c>
      <c r="V20" s="50">
        <f t="shared" si="52"/>
        <v>20827.58620689655</v>
      </c>
      <c r="W20" s="50">
        <f t="shared" si="52"/>
        <v>20827.58620689655</v>
      </c>
      <c r="X20" s="50">
        <f t="shared" si="52"/>
        <v>20827.58620689655</v>
      </c>
      <c r="Y20" s="50">
        <f t="shared" si="52"/>
        <v>20827.58620689655</v>
      </c>
      <c r="Z20" s="50">
        <f t="shared" si="52"/>
        <v>20827.58620689655</v>
      </c>
      <c r="AA20" s="50">
        <f t="shared" si="52"/>
        <v>20827.58620689655</v>
      </c>
      <c r="AB20" s="53">
        <f t="shared" si="52"/>
        <v>20827.58620689655</v>
      </c>
      <c r="AC20" s="17">
        <f aca="true" t="shared" si="53" ref="AC20:AC41">SUM(Q20:AB20)</f>
        <v>249931.0344827586</v>
      </c>
      <c r="AD20" s="50">
        <f>$AV$19*SUM(AD17:AD18)</f>
        <v>20827.58620689655</v>
      </c>
      <c r="AE20" s="50">
        <f aca="true" t="shared" si="54" ref="AE20:AO20">$AV$19*SUM(AE17:AE18)</f>
        <v>20827.58620689655</v>
      </c>
      <c r="AF20" s="50">
        <f t="shared" si="54"/>
        <v>20827.58620689655</v>
      </c>
      <c r="AG20" s="50">
        <f t="shared" si="54"/>
        <v>20827.58620689655</v>
      </c>
      <c r="AH20" s="50">
        <f t="shared" si="54"/>
        <v>20827.58620689655</v>
      </c>
      <c r="AI20" s="50">
        <f t="shared" si="54"/>
        <v>20827.58620689655</v>
      </c>
      <c r="AJ20" s="50">
        <f t="shared" si="54"/>
        <v>20827.58620689655</v>
      </c>
      <c r="AK20" s="50">
        <f t="shared" si="54"/>
        <v>20827.58620689655</v>
      </c>
      <c r="AL20" s="50">
        <f t="shared" si="54"/>
        <v>20827.58620689655</v>
      </c>
      <c r="AM20" s="50">
        <f t="shared" si="54"/>
        <v>20827.58620689655</v>
      </c>
      <c r="AN20" s="50">
        <f t="shared" si="54"/>
        <v>20827.58620689655</v>
      </c>
      <c r="AO20" s="53">
        <f t="shared" si="54"/>
        <v>20827.58620689655</v>
      </c>
      <c r="AP20" s="17">
        <f aca="true" t="shared" si="55" ref="AP20:AP41">SUM(AD20:AO20)</f>
        <v>249931.0344827586</v>
      </c>
      <c r="AQ20" s="10"/>
      <c r="AR20" s="19"/>
      <c r="AS20" s="22"/>
      <c r="AT20" s="22"/>
      <c r="AU20" s="22"/>
      <c r="AV20" s="22"/>
      <c r="AW20" s="22"/>
      <c r="AX20" s="22"/>
      <c r="AY20" s="22"/>
      <c r="AZ20" s="22"/>
      <c r="BA20" s="10"/>
      <c r="BB20" s="10"/>
      <c r="CA20" s="3" t="s">
        <v>74</v>
      </c>
      <c r="CB20" s="3" t="s">
        <v>74</v>
      </c>
      <c r="CC20" s="88">
        <v>0.75</v>
      </c>
      <c r="CF20" s="57"/>
    </row>
    <row r="21" spans="1:84" ht="15">
      <c r="A21" s="24" t="s">
        <v>13</v>
      </c>
      <c r="B21" s="19" t="s">
        <v>14</v>
      </c>
      <c r="C21" s="19"/>
      <c r="D21" s="50">
        <f>SUM(D22:D24)</f>
        <v>20000</v>
      </c>
      <c r="E21" s="50">
        <f aca="true" t="shared" si="56" ref="E21:O21">SUM(E22:E24)</f>
        <v>20000</v>
      </c>
      <c r="F21" s="16">
        <f t="shared" si="56"/>
        <v>20000</v>
      </c>
      <c r="G21" s="16">
        <f t="shared" si="56"/>
        <v>20000</v>
      </c>
      <c r="H21" s="16">
        <f t="shared" si="56"/>
        <v>20000</v>
      </c>
      <c r="I21" s="16">
        <f t="shared" si="56"/>
        <v>20000</v>
      </c>
      <c r="J21" s="16">
        <f t="shared" si="56"/>
        <v>20000</v>
      </c>
      <c r="K21" s="16">
        <f t="shared" si="56"/>
        <v>20000</v>
      </c>
      <c r="L21" s="16">
        <f t="shared" si="56"/>
        <v>20000</v>
      </c>
      <c r="M21" s="16">
        <f t="shared" si="56"/>
        <v>20000</v>
      </c>
      <c r="N21" s="16">
        <f t="shared" si="56"/>
        <v>20000</v>
      </c>
      <c r="O21" s="17">
        <f t="shared" si="56"/>
        <v>20000</v>
      </c>
      <c r="P21" s="17">
        <f t="shared" si="18"/>
        <v>240000</v>
      </c>
      <c r="Q21" s="50">
        <f>SUM(Q22:Q24)</f>
        <v>20000</v>
      </c>
      <c r="R21" s="50">
        <f aca="true" t="shared" si="57" ref="R21:AB21">SUM(R22:R24)</f>
        <v>20000</v>
      </c>
      <c r="S21" s="16">
        <f t="shared" si="57"/>
        <v>20000</v>
      </c>
      <c r="T21" s="16">
        <f t="shared" si="57"/>
        <v>20000</v>
      </c>
      <c r="U21" s="16">
        <f t="shared" si="57"/>
        <v>20000</v>
      </c>
      <c r="V21" s="16">
        <f t="shared" si="57"/>
        <v>20000</v>
      </c>
      <c r="W21" s="16">
        <f t="shared" si="57"/>
        <v>20000</v>
      </c>
      <c r="X21" s="16">
        <f t="shared" si="57"/>
        <v>20000</v>
      </c>
      <c r="Y21" s="16">
        <f t="shared" si="57"/>
        <v>20000</v>
      </c>
      <c r="Z21" s="16">
        <f t="shared" si="57"/>
        <v>20000</v>
      </c>
      <c r="AA21" s="16">
        <f t="shared" si="57"/>
        <v>20000</v>
      </c>
      <c r="AB21" s="17">
        <f t="shared" si="57"/>
        <v>20000</v>
      </c>
      <c r="AC21" s="17">
        <f t="shared" si="53"/>
        <v>240000</v>
      </c>
      <c r="AD21" s="50">
        <f>SUM(AD22:AD24)</f>
        <v>20000</v>
      </c>
      <c r="AE21" s="50">
        <f aca="true" t="shared" si="58" ref="AE21:AO21">SUM(AE22:AE24)</f>
        <v>20000</v>
      </c>
      <c r="AF21" s="16">
        <f t="shared" si="58"/>
        <v>20000</v>
      </c>
      <c r="AG21" s="16">
        <f t="shared" si="58"/>
        <v>20000</v>
      </c>
      <c r="AH21" s="16">
        <f t="shared" si="58"/>
        <v>20000</v>
      </c>
      <c r="AI21" s="16">
        <f t="shared" si="58"/>
        <v>20000</v>
      </c>
      <c r="AJ21" s="16">
        <f t="shared" si="58"/>
        <v>20000</v>
      </c>
      <c r="AK21" s="16">
        <f t="shared" si="58"/>
        <v>20000</v>
      </c>
      <c r="AL21" s="16">
        <f t="shared" si="58"/>
        <v>20000</v>
      </c>
      <c r="AM21" s="16">
        <f t="shared" si="58"/>
        <v>20000</v>
      </c>
      <c r="AN21" s="16">
        <f t="shared" si="58"/>
        <v>20000</v>
      </c>
      <c r="AO21" s="17">
        <f t="shared" si="58"/>
        <v>20000</v>
      </c>
      <c r="AP21" s="17">
        <f t="shared" si="55"/>
        <v>240000</v>
      </c>
      <c r="AQ21" s="10"/>
      <c r="AR21" s="19" t="s">
        <v>16</v>
      </c>
      <c r="AS21" s="22"/>
      <c r="AT21" s="22"/>
      <c r="AU21" s="28" t="s">
        <v>34</v>
      </c>
      <c r="AV21" s="83">
        <v>1000</v>
      </c>
      <c r="AW21" s="23" t="s">
        <v>77</v>
      </c>
      <c r="AX21" s="83">
        <f>IF(AT4="остров",10,(IF(AT4="Бутик 20-70 кв.м.",45,80)))</f>
        <v>10</v>
      </c>
      <c r="AY21" s="22"/>
      <c r="AZ21" s="22"/>
      <c r="BA21" s="10"/>
      <c r="BB21" s="10"/>
      <c r="CA21" s="3" t="s">
        <v>75</v>
      </c>
      <c r="CB21" s="3" t="s">
        <v>75</v>
      </c>
      <c r="CC21" s="88">
        <v>0.75</v>
      </c>
      <c r="CF21" s="57"/>
    </row>
    <row r="22" spans="1:84" ht="15">
      <c r="A22" s="24"/>
      <c r="B22" s="19" t="s">
        <v>15</v>
      </c>
      <c r="C22" s="24" t="s">
        <v>16</v>
      </c>
      <c r="D22" s="50">
        <f aca="true" t="shared" si="59" ref="D22:O22">$AV$21*$AX$21</f>
        <v>10000</v>
      </c>
      <c r="E22" s="50">
        <f t="shared" si="59"/>
        <v>10000</v>
      </c>
      <c r="F22" s="16">
        <f t="shared" si="59"/>
        <v>10000</v>
      </c>
      <c r="G22" s="16">
        <f t="shared" si="59"/>
        <v>10000</v>
      </c>
      <c r="H22" s="16">
        <f t="shared" si="59"/>
        <v>10000</v>
      </c>
      <c r="I22" s="16">
        <f t="shared" si="59"/>
        <v>10000</v>
      </c>
      <c r="J22" s="16">
        <f t="shared" si="59"/>
        <v>10000</v>
      </c>
      <c r="K22" s="16">
        <f t="shared" si="59"/>
        <v>10000</v>
      </c>
      <c r="L22" s="16">
        <f t="shared" si="59"/>
        <v>10000</v>
      </c>
      <c r="M22" s="16">
        <f t="shared" si="59"/>
        <v>10000</v>
      </c>
      <c r="N22" s="16">
        <f t="shared" si="59"/>
        <v>10000</v>
      </c>
      <c r="O22" s="17">
        <f t="shared" si="59"/>
        <v>10000</v>
      </c>
      <c r="P22" s="17">
        <f t="shared" si="18"/>
        <v>120000</v>
      </c>
      <c r="Q22" s="50">
        <f aca="true" t="shared" si="60" ref="Q22:AB22">$AV$21*$AX$21</f>
        <v>10000</v>
      </c>
      <c r="R22" s="50">
        <f t="shared" si="60"/>
        <v>10000</v>
      </c>
      <c r="S22" s="16">
        <f t="shared" si="60"/>
        <v>10000</v>
      </c>
      <c r="T22" s="16">
        <f t="shared" si="60"/>
        <v>10000</v>
      </c>
      <c r="U22" s="16">
        <f t="shared" si="60"/>
        <v>10000</v>
      </c>
      <c r="V22" s="16">
        <f t="shared" si="60"/>
        <v>10000</v>
      </c>
      <c r="W22" s="16">
        <f t="shared" si="60"/>
        <v>10000</v>
      </c>
      <c r="X22" s="16">
        <f t="shared" si="60"/>
        <v>10000</v>
      </c>
      <c r="Y22" s="16">
        <f t="shared" si="60"/>
        <v>10000</v>
      </c>
      <c r="Z22" s="16">
        <f t="shared" si="60"/>
        <v>10000</v>
      </c>
      <c r="AA22" s="16">
        <f t="shared" si="60"/>
        <v>10000</v>
      </c>
      <c r="AB22" s="17">
        <f t="shared" si="60"/>
        <v>10000</v>
      </c>
      <c r="AC22" s="17">
        <f t="shared" si="53"/>
        <v>120000</v>
      </c>
      <c r="AD22" s="50">
        <f aca="true" t="shared" si="61" ref="AD22:AO22">$AV$21*$AX$21</f>
        <v>10000</v>
      </c>
      <c r="AE22" s="50">
        <f t="shared" si="61"/>
        <v>10000</v>
      </c>
      <c r="AF22" s="16">
        <f t="shared" si="61"/>
        <v>10000</v>
      </c>
      <c r="AG22" s="16">
        <f t="shared" si="61"/>
        <v>10000</v>
      </c>
      <c r="AH22" s="16">
        <f t="shared" si="61"/>
        <v>10000</v>
      </c>
      <c r="AI22" s="16">
        <f t="shared" si="61"/>
        <v>10000</v>
      </c>
      <c r="AJ22" s="16">
        <f t="shared" si="61"/>
        <v>10000</v>
      </c>
      <c r="AK22" s="16">
        <f t="shared" si="61"/>
        <v>10000</v>
      </c>
      <c r="AL22" s="16">
        <f t="shared" si="61"/>
        <v>10000</v>
      </c>
      <c r="AM22" s="16">
        <f t="shared" si="61"/>
        <v>10000</v>
      </c>
      <c r="AN22" s="16">
        <f t="shared" si="61"/>
        <v>10000</v>
      </c>
      <c r="AO22" s="17">
        <f t="shared" si="61"/>
        <v>10000</v>
      </c>
      <c r="AP22" s="17">
        <f t="shared" si="55"/>
        <v>120000</v>
      </c>
      <c r="AQ22" s="10"/>
      <c r="AR22" s="24" t="s">
        <v>76</v>
      </c>
      <c r="AS22" s="22"/>
      <c r="AT22" s="22"/>
      <c r="AU22" s="22"/>
      <c r="AV22" s="83">
        <f>IF(AT4="остров",0,(IF(AT4="Бутик 20-70 кв.м.",10000,20000)))</f>
        <v>0</v>
      </c>
      <c r="AW22" s="19" t="s">
        <v>79</v>
      </c>
      <c r="AX22" s="22"/>
      <c r="AY22" s="22"/>
      <c r="AZ22" s="22"/>
      <c r="BA22" s="10"/>
      <c r="BB22" s="10"/>
      <c r="CA22" s="3" t="s">
        <v>56</v>
      </c>
      <c r="CB22" s="3" t="s">
        <v>56</v>
      </c>
      <c r="CC22" s="88">
        <v>0.75</v>
      </c>
      <c r="CF22" s="57"/>
    </row>
    <row r="23" spans="1:84" ht="15">
      <c r="A23" s="24"/>
      <c r="B23" s="1" t="s">
        <v>17</v>
      </c>
      <c r="C23" s="24" t="s">
        <v>76</v>
      </c>
      <c r="D23" s="50">
        <f aca="true" t="shared" si="62" ref="D23:O23">$AV$22</f>
        <v>0</v>
      </c>
      <c r="E23" s="50">
        <f t="shared" si="62"/>
        <v>0</v>
      </c>
      <c r="F23" s="16">
        <f t="shared" si="62"/>
        <v>0</v>
      </c>
      <c r="G23" s="16">
        <f t="shared" si="62"/>
        <v>0</v>
      </c>
      <c r="H23" s="16">
        <f t="shared" si="62"/>
        <v>0</v>
      </c>
      <c r="I23" s="16">
        <f t="shared" si="62"/>
        <v>0</v>
      </c>
      <c r="J23" s="16">
        <f t="shared" si="62"/>
        <v>0</v>
      </c>
      <c r="K23" s="16">
        <f t="shared" si="62"/>
        <v>0</v>
      </c>
      <c r="L23" s="16">
        <f t="shared" si="62"/>
        <v>0</v>
      </c>
      <c r="M23" s="16">
        <f t="shared" si="62"/>
        <v>0</v>
      </c>
      <c r="N23" s="16">
        <f t="shared" si="62"/>
        <v>0</v>
      </c>
      <c r="O23" s="17">
        <f t="shared" si="62"/>
        <v>0</v>
      </c>
      <c r="P23" s="17">
        <f t="shared" si="18"/>
        <v>0</v>
      </c>
      <c r="Q23" s="50">
        <f aca="true" t="shared" si="63" ref="Q23:AB23">$AV$22</f>
        <v>0</v>
      </c>
      <c r="R23" s="50">
        <f t="shared" si="63"/>
        <v>0</v>
      </c>
      <c r="S23" s="16">
        <f t="shared" si="63"/>
        <v>0</v>
      </c>
      <c r="T23" s="16">
        <f t="shared" si="63"/>
        <v>0</v>
      </c>
      <c r="U23" s="16">
        <f t="shared" si="63"/>
        <v>0</v>
      </c>
      <c r="V23" s="16">
        <f t="shared" si="63"/>
        <v>0</v>
      </c>
      <c r="W23" s="16">
        <f t="shared" si="63"/>
        <v>0</v>
      </c>
      <c r="X23" s="16">
        <f t="shared" si="63"/>
        <v>0</v>
      </c>
      <c r="Y23" s="16">
        <f t="shared" si="63"/>
        <v>0</v>
      </c>
      <c r="Z23" s="16">
        <f t="shared" si="63"/>
        <v>0</v>
      </c>
      <c r="AA23" s="16">
        <f t="shared" si="63"/>
        <v>0</v>
      </c>
      <c r="AB23" s="17">
        <f t="shared" si="63"/>
        <v>0</v>
      </c>
      <c r="AC23" s="17">
        <f t="shared" si="53"/>
        <v>0</v>
      </c>
      <c r="AD23" s="50">
        <f aca="true" t="shared" si="64" ref="AD23:AO23">$AV$22</f>
        <v>0</v>
      </c>
      <c r="AE23" s="50">
        <f t="shared" si="64"/>
        <v>0</v>
      </c>
      <c r="AF23" s="16">
        <f t="shared" si="64"/>
        <v>0</v>
      </c>
      <c r="AG23" s="16">
        <f t="shared" si="64"/>
        <v>0</v>
      </c>
      <c r="AH23" s="16">
        <f t="shared" si="64"/>
        <v>0</v>
      </c>
      <c r="AI23" s="16">
        <f t="shared" si="64"/>
        <v>0</v>
      </c>
      <c r="AJ23" s="16">
        <f t="shared" si="64"/>
        <v>0</v>
      </c>
      <c r="AK23" s="16">
        <f t="shared" si="64"/>
        <v>0</v>
      </c>
      <c r="AL23" s="16">
        <f t="shared" si="64"/>
        <v>0</v>
      </c>
      <c r="AM23" s="16">
        <f t="shared" si="64"/>
        <v>0</v>
      </c>
      <c r="AN23" s="16">
        <f t="shared" si="64"/>
        <v>0</v>
      </c>
      <c r="AO23" s="17">
        <f t="shared" si="64"/>
        <v>0</v>
      </c>
      <c r="AP23" s="17">
        <f t="shared" si="55"/>
        <v>0</v>
      </c>
      <c r="AQ23" s="10"/>
      <c r="AR23" s="24" t="str">
        <f>C24</f>
        <v>уборка, охрана</v>
      </c>
      <c r="AS23" s="22"/>
      <c r="AT23" s="22"/>
      <c r="AU23" s="22"/>
      <c r="AV23" s="83">
        <v>10000</v>
      </c>
      <c r="AW23" s="19" t="s">
        <v>79</v>
      </c>
      <c r="AX23" s="22"/>
      <c r="AY23" s="22"/>
      <c r="AZ23" s="22"/>
      <c r="BA23" s="10"/>
      <c r="BB23" s="10"/>
      <c r="CA23" s="3" t="s">
        <v>78</v>
      </c>
      <c r="CB23" s="3" t="s">
        <v>78</v>
      </c>
      <c r="CC23" s="88">
        <v>1.5</v>
      </c>
      <c r="CF23" s="57"/>
    </row>
    <row r="24" spans="1:81" ht="15">
      <c r="A24" s="24"/>
      <c r="B24" s="1" t="s">
        <v>18</v>
      </c>
      <c r="C24" s="24" t="s">
        <v>122</v>
      </c>
      <c r="D24" s="50">
        <f aca="true" t="shared" si="65" ref="D24:O24">$AV$23</f>
        <v>10000</v>
      </c>
      <c r="E24" s="50">
        <f t="shared" si="65"/>
        <v>10000</v>
      </c>
      <c r="F24" s="16">
        <f t="shared" si="65"/>
        <v>10000</v>
      </c>
      <c r="G24" s="16">
        <f t="shared" si="65"/>
        <v>10000</v>
      </c>
      <c r="H24" s="16">
        <f t="shared" si="65"/>
        <v>10000</v>
      </c>
      <c r="I24" s="16">
        <f t="shared" si="65"/>
        <v>10000</v>
      </c>
      <c r="J24" s="16">
        <f t="shared" si="65"/>
        <v>10000</v>
      </c>
      <c r="K24" s="16">
        <f t="shared" si="65"/>
        <v>10000</v>
      </c>
      <c r="L24" s="16">
        <f t="shared" si="65"/>
        <v>10000</v>
      </c>
      <c r="M24" s="16">
        <f t="shared" si="65"/>
        <v>10000</v>
      </c>
      <c r="N24" s="16">
        <f t="shared" si="65"/>
        <v>10000</v>
      </c>
      <c r="O24" s="17">
        <f t="shared" si="65"/>
        <v>10000</v>
      </c>
      <c r="P24" s="17">
        <f t="shared" si="18"/>
        <v>120000</v>
      </c>
      <c r="Q24" s="50">
        <f aca="true" t="shared" si="66" ref="Q24:AB24">$AV$23</f>
        <v>10000</v>
      </c>
      <c r="R24" s="50">
        <f t="shared" si="66"/>
        <v>10000</v>
      </c>
      <c r="S24" s="16">
        <f t="shared" si="66"/>
        <v>10000</v>
      </c>
      <c r="T24" s="16">
        <f t="shared" si="66"/>
        <v>10000</v>
      </c>
      <c r="U24" s="16">
        <f t="shared" si="66"/>
        <v>10000</v>
      </c>
      <c r="V24" s="16">
        <f t="shared" si="66"/>
        <v>10000</v>
      </c>
      <c r="W24" s="16">
        <f t="shared" si="66"/>
        <v>10000</v>
      </c>
      <c r="X24" s="16">
        <f t="shared" si="66"/>
        <v>10000</v>
      </c>
      <c r="Y24" s="16">
        <f t="shared" si="66"/>
        <v>10000</v>
      </c>
      <c r="Z24" s="16">
        <f t="shared" si="66"/>
        <v>10000</v>
      </c>
      <c r="AA24" s="16">
        <f t="shared" si="66"/>
        <v>10000</v>
      </c>
      <c r="AB24" s="17">
        <f t="shared" si="66"/>
        <v>10000</v>
      </c>
      <c r="AC24" s="17">
        <f t="shared" si="53"/>
        <v>120000</v>
      </c>
      <c r="AD24" s="50">
        <f aca="true" t="shared" si="67" ref="AD24:AO24">$AV$23</f>
        <v>10000</v>
      </c>
      <c r="AE24" s="50">
        <f t="shared" si="67"/>
        <v>10000</v>
      </c>
      <c r="AF24" s="16">
        <f t="shared" si="67"/>
        <v>10000</v>
      </c>
      <c r="AG24" s="16">
        <f t="shared" si="67"/>
        <v>10000</v>
      </c>
      <c r="AH24" s="16">
        <f t="shared" si="67"/>
        <v>10000</v>
      </c>
      <c r="AI24" s="16">
        <f t="shared" si="67"/>
        <v>10000</v>
      </c>
      <c r="AJ24" s="16">
        <f t="shared" si="67"/>
        <v>10000</v>
      </c>
      <c r="AK24" s="16">
        <f t="shared" si="67"/>
        <v>10000</v>
      </c>
      <c r="AL24" s="16">
        <f t="shared" si="67"/>
        <v>10000</v>
      </c>
      <c r="AM24" s="16">
        <f t="shared" si="67"/>
        <v>10000</v>
      </c>
      <c r="AN24" s="16">
        <f t="shared" si="67"/>
        <v>10000</v>
      </c>
      <c r="AO24" s="17">
        <f t="shared" si="67"/>
        <v>10000</v>
      </c>
      <c r="AP24" s="17">
        <f t="shared" si="55"/>
        <v>120000</v>
      </c>
      <c r="AQ24" s="10"/>
      <c r="AR24" s="24" t="str">
        <f>C29</f>
        <v>расходные материалы (канцелярия, чай/кофе для клиентов, цветы в офис)</v>
      </c>
      <c r="AS24" s="22"/>
      <c r="AT24" s="22"/>
      <c r="AU24" s="22"/>
      <c r="AV24" s="83">
        <f>IF(AT4="остров",7000,(IF(AT5="Бутик 20-70 кв.м.",15000,20000)))</f>
        <v>7000</v>
      </c>
      <c r="AW24" s="19" t="s">
        <v>79</v>
      </c>
      <c r="AX24" s="22"/>
      <c r="AY24" s="22"/>
      <c r="AZ24" s="22"/>
      <c r="BA24" s="10"/>
      <c r="BB24" s="10"/>
      <c r="CB24" s="3" t="s">
        <v>63</v>
      </c>
      <c r="CC24" s="88">
        <v>0.5</v>
      </c>
    </row>
    <row r="25" spans="1:81" ht="15">
      <c r="A25" s="24" t="s">
        <v>19</v>
      </c>
      <c r="B25" s="1" t="s">
        <v>20</v>
      </c>
      <c r="C25" s="24"/>
      <c r="D25" s="50">
        <f aca="true" t="shared" si="68" ref="D25:O25">SUM(D26:D31)</f>
        <v>31105</v>
      </c>
      <c r="E25" s="50">
        <f t="shared" si="68"/>
        <v>33122.5</v>
      </c>
      <c r="F25" s="16">
        <f t="shared" si="68"/>
        <v>27070</v>
      </c>
      <c r="G25" s="16">
        <f t="shared" si="68"/>
        <v>36148.75</v>
      </c>
      <c r="H25" s="16">
        <f t="shared" si="68"/>
        <v>37157.5</v>
      </c>
      <c r="I25" s="16">
        <f t="shared" si="68"/>
        <v>38166.25</v>
      </c>
      <c r="J25" s="16">
        <f t="shared" si="68"/>
        <v>29087.5</v>
      </c>
      <c r="K25" s="16">
        <f t="shared" si="68"/>
        <v>29087.5</v>
      </c>
      <c r="L25" s="16">
        <f t="shared" si="68"/>
        <v>29087.5</v>
      </c>
      <c r="M25" s="16">
        <f t="shared" si="68"/>
        <v>29087.5</v>
      </c>
      <c r="N25" s="16">
        <f t="shared" si="68"/>
        <v>39175</v>
      </c>
      <c r="O25" s="17">
        <f t="shared" si="68"/>
        <v>25725</v>
      </c>
      <c r="P25" s="17">
        <f t="shared" si="18"/>
        <v>384020</v>
      </c>
      <c r="Q25" s="50">
        <f aca="true" t="shared" si="69" ref="Q25:AB25">SUM(Q26:Q31)</f>
        <v>39175</v>
      </c>
      <c r="R25" s="50">
        <f t="shared" si="69"/>
        <v>39175</v>
      </c>
      <c r="S25" s="16">
        <f t="shared" si="69"/>
        <v>29087.5</v>
      </c>
      <c r="T25" s="16">
        <f t="shared" si="69"/>
        <v>39175</v>
      </c>
      <c r="U25" s="16">
        <f t="shared" si="69"/>
        <v>39175</v>
      </c>
      <c r="V25" s="16">
        <f t="shared" si="69"/>
        <v>39175</v>
      </c>
      <c r="W25" s="16">
        <f t="shared" si="69"/>
        <v>29087.5</v>
      </c>
      <c r="X25" s="16">
        <f t="shared" si="69"/>
        <v>29087.5</v>
      </c>
      <c r="Y25" s="16">
        <f t="shared" si="69"/>
        <v>29087.5</v>
      </c>
      <c r="Z25" s="16">
        <f t="shared" si="69"/>
        <v>29087.5</v>
      </c>
      <c r="AA25" s="16">
        <f t="shared" si="69"/>
        <v>39175</v>
      </c>
      <c r="AB25" s="17">
        <f t="shared" si="69"/>
        <v>25725</v>
      </c>
      <c r="AC25" s="17">
        <f t="shared" si="53"/>
        <v>406212.5</v>
      </c>
      <c r="AD25" s="50">
        <f aca="true" t="shared" si="70" ref="AD25:AO25">SUM(AD26:AD31)</f>
        <v>39175</v>
      </c>
      <c r="AE25" s="50">
        <f t="shared" si="70"/>
        <v>39175</v>
      </c>
      <c r="AF25" s="16">
        <f t="shared" si="70"/>
        <v>29087.5</v>
      </c>
      <c r="AG25" s="16">
        <f t="shared" si="70"/>
        <v>39175</v>
      </c>
      <c r="AH25" s="16">
        <f t="shared" si="70"/>
        <v>39175</v>
      </c>
      <c r="AI25" s="16">
        <f t="shared" si="70"/>
        <v>39175</v>
      </c>
      <c r="AJ25" s="16">
        <f t="shared" si="70"/>
        <v>29087.5</v>
      </c>
      <c r="AK25" s="16">
        <f t="shared" si="70"/>
        <v>29087.5</v>
      </c>
      <c r="AL25" s="16">
        <f t="shared" si="70"/>
        <v>29087.5</v>
      </c>
      <c r="AM25" s="16">
        <f t="shared" si="70"/>
        <v>29087.5</v>
      </c>
      <c r="AN25" s="16">
        <f t="shared" si="70"/>
        <v>39175</v>
      </c>
      <c r="AO25" s="17">
        <f t="shared" si="70"/>
        <v>25725</v>
      </c>
      <c r="AP25" s="17">
        <f t="shared" si="55"/>
        <v>406212.5</v>
      </c>
      <c r="AQ25" s="10"/>
      <c r="AR25" s="24" t="s">
        <v>22</v>
      </c>
      <c r="AS25" s="29"/>
      <c r="AT25" s="29"/>
      <c r="AU25" s="29"/>
      <c r="AV25" s="83">
        <v>5000</v>
      </c>
      <c r="AW25" s="19" t="s">
        <v>79</v>
      </c>
      <c r="AX25" s="22"/>
      <c r="AY25" s="22"/>
      <c r="AZ25" s="22"/>
      <c r="BA25" s="10"/>
      <c r="BB25" s="10"/>
      <c r="CB25" s="3" t="s">
        <v>65</v>
      </c>
      <c r="CC25" s="88">
        <v>1.5</v>
      </c>
    </row>
    <row r="26" spans="1:81" ht="15">
      <c r="A26" s="24"/>
      <c r="B26" s="1" t="s">
        <v>21</v>
      </c>
      <c r="C26" s="24" t="s">
        <v>22</v>
      </c>
      <c r="D26" s="50">
        <f aca="true" t="shared" si="71" ref="D26:O26">$AV$25</f>
        <v>5000</v>
      </c>
      <c r="E26" s="50">
        <f t="shared" si="71"/>
        <v>5000</v>
      </c>
      <c r="F26" s="16">
        <f t="shared" si="71"/>
        <v>5000</v>
      </c>
      <c r="G26" s="16">
        <f t="shared" si="71"/>
        <v>5000</v>
      </c>
      <c r="H26" s="16">
        <f t="shared" si="71"/>
        <v>5000</v>
      </c>
      <c r="I26" s="16">
        <f t="shared" si="71"/>
        <v>5000</v>
      </c>
      <c r="J26" s="16">
        <f t="shared" si="71"/>
        <v>5000</v>
      </c>
      <c r="K26" s="16">
        <f t="shared" si="71"/>
        <v>5000</v>
      </c>
      <c r="L26" s="16">
        <f t="shared" si="71"/>
        <v>5000</v>
      </c>
      <c r="M26" s="16">
        <f t="shared" si="71"/>
        <v>5000</v>
      </c>
      <c r="N26" s="16">
        <f t="shared" si="71"/>
        <v>5000</v>
      </c>
      <c r="O26" s="17">
        <f t="shared" si="71"/>
        <v>5000</v>
      </c>
      <c r="P26" s="17">
        <f t="shared" si="18"/>
        <v>60000</v>
      </c>
      <c r="Q26" s="50">
        <f aca="true" t="shared" si="72" ref="Q26:AB26">$AV$25</f>
        <v>5000</v>
      </c>
      <c r="R26" s="50">
        <f t="shared" si="72"/>
        <v>5000</v>
      </c>
      <c r="S26" s="16">
        <f t="shared" si="72"/>
        <v>5000</v>
      </c>
      <c r="T26" s="16">
        <f t="shared" si="72"/>
        <v>5000</v>
      </c>
      <c r="U26" s="16">
        <f t="shared" si="72"/>
        <v>5000</v>
      </c>
      <c r="V26" s="16">
        <f t="shared" si="72"/>
        <v>5000</v>
      </c>
      <c r="W26" s="16">
        <f t="shared" si="72"/>
        <v>5000</v>
      </c>
      <c r="X26" s="16">
        <f t="shared" si="72"/>
        <v>5000</v>
      </c>
      <c r="Y26" s="16">
        <f t="shared" si="72"/>
        <v>5000</v>
      </c>
      <c r="Z26" s="16">
        <f t="shared" si="72"/>
        <v>5000</v>
      </c>
      <c r="AA26" s="16">
        <f t="shared" si="72"/>
        <v>5000</v>
      </c>
      <c r="AB26" s="17">
        <f t="shared" si="72"/>
        <v>5000</v>
      </c>
      <c r="AC26" s="17">
        <f t="shared" si="53"/>
        <v>60000</v>
      </c>
      <c r="AD26" s="50">
        <f aca="true" t="shared" si="73" ref="AD26:AO26">$AV$25</f>
        <v>5000</v>
      </c>
      <c r="AE26" s="50">
        <f t="shared" si="73"/>
        <v>5000</v>
      </c>
      <c r="AF26" s="16">
        <f t="shared" si="73"/>
        <v>5000</v>
      </c>
      <c r="AG26" s="16">
        <f t="shared" si="73"/>
        <v>5000</v>
      </c>
      <c r="AH26" s="16">
        <f t="shared" si="73"/>
        <v>5000</v>
      </c>
      <c r="AI26" s="16">
        <f t="shared" si="73"/>
        <v>5000</v>
      </c>
      <c r="AJ26" s="16">
        <f t="shared" si="73"/>
        <v>5000</v>
      </c>
      <c r="AK26" s="16">
        <f t="shared" si="73"/>
        <v>5000</v>
      </c>
      <c r="AL26" s="16">
        <f t="shared" si="73"/>
        <v>5000</v>
      </c>
      <c r="AM26" s="16">
        <f t="shared" si="73"/>
        <v>5000</v>
      </c>
      <c r="AN26" s="16">
        <f t="shared" si="73"/>
        <v>5000</v>
      </c>
      <c r="AO26" s="17">
        <f t="shared" si="73"/>
        <v>5000</v>
      </c>
      <c r="AP26" s="17">
        <f t="shared" si="55"/>
        <v>60000</v>
      </c>
      <c r="AQ26" s="10"/>
      <c r="AR26" s="24" t="s">
        <v>80</v>
      </c>
      <c r="AS26" s="19"/>
      <c r="AT26" s="19"/>
      <c r="AU26" s="29" t="s">
        <v>82</v>
      </c>
      <c r="AV26" s="107">
        <v>0.5</v>
      </c>
      <c r="AW26" s="23" t="s">
        <v>34</v>
      </c>
      <c r="AX26" s="82">
        <v>0.02</v>
      </c>
      <c r="AY26" s="22"/>
      <c r="AZ26" s="22"/>
      <c r="BA26" s="10"/>
      <c r="BB26" s="10"/>
      <c r="CB26" s="3" t="s">
        <v>66</v>
      </c>
      <c r="CC26" s="88">
        <v>1.5</v>
      </c>
    </row>
    <row r="27" spans="1:81" ht="15">
      <c r="A27" s="24"/>
      <c r="B27" s="1" t="s">
        <v>23</v>
      </c>
      <c r="C27" s="24" t="s">
        <v>80</v>
      </c>
      <c r="D27" s="50">
        <f>$AV$26*$AX$26*D6</f>
        <v>12105</v>
      </c>
      <c r="E27" s="50">
        <f aca="true" t="shared" si="74" ref="E27:O27">$AV$26*$AX$26*E6</f>
        <v>14122.5</v>
      </c>
      <c r="F27" s="16">
        <f t="shared" si="74"/>
        <v>8070</v>
      </c>
      <c r="G27" s="16">
        <f t="shared" si="74"/>
        <v>17148.75</v>
      </c>
      <c r="H27" s="16">
        <f t="shared" si="74"/>
        <v>18157.5</v>
      </c>
      <c r="I27" s="16">
        <f t="shared" si="74"/>
        <v>19166.25</v>
      </c>
      <c r="J27" s="16">
        <f t="shared" si="74"/>
        <v>10087.5</v>
      </c>
      <c r="K27" s="16">
        <f t="shared" si="74"/>
        <v>10087.5</v>
      </c>
      <c r="L27" s="16">
        <f t="shared" si="74"/>
        <v>10087.5</v>
      </c>
      <c r="M27" s="16">
        <f t="shared" si="74"/>
        <v>10087.5</v>
      </c>
      <c r="N27" s="16">
        <f t="shared" si="74"/>
        <v>20175</v>
      </c>
      <c r="O27" s="17">
        <f t="shared" si="74"/>
        <v>6725</v>
      </c>
      <c r="P27" s="17">
        <f t="shared" si="18"/>
        <v>156020</v>
      </c>
      <c r="Q27" s="50">
        <f>$AV$26*$AX$26*Q6</f>
        <v>20175</v>
      </c>
      <c r="R27" s="50">
        <f aca="true" t="shared" si="75" ref="R27:AB27">$AV$26*$AX$26*R6</f>
        <v>20175</v>
      </c>
      <c r="S27" s="16">
        <f t="shared" si="75"/>
        <v>10087.5</v>
      </c>
      <c r="T27" s="16">
        <f t="shared" si="75"/>
        <v>20175</v>
      </c>
      <c r="U27" s="16">
        <f t="shared" si="75"/>
        <v>20175</v>
      </c>
      <c r="V27" s="16">
        <f t="shared" si="75"/>
        <v>20175</v>
      </c>
      <c r="W27" s="16">
        <f t="shared" si="75"/>
        <v>10087.5</v>
      </c>
      <c r="X27" s="16">
        <f t="shared" si="75"/>
        <v>10087.5</v>
      </c>
      <c r="Y27" s="16">
        <f t="shared" si="75"/>
        <v>10087.5</v>
      </c>
      <c r="Z27" s="16">
        <f t="shared" si="75"/>
        <v>10087.5</v>
      </c>
      <c r="AA27" s="16">
        <f t="shared" si="75"/>
        <v>20175</v>
      </c>
      <c r="AB27" s="17">
        <f t="shared" si="75"/>
        <v>6725</v>
      </c>
      <c r="AC27" s="17">
        <f t="shared" si="53"/>
        <v>178212.5</v>
      </c>
      <c r="AD27" s="50">
        <f>$AV$26*$AX$26*AD6</f>
        <v>20175</v>
      </c>
      <c r="AE27" s="50">
        <f aca="true" t="shared" si="76" ref="AE27:AO27">$AV$26*$AX$26*AE6</f>
        <v>20175</v>
      </c>
      <c r="AF27" s="16">
        <f t="shared" si="76"/>
        <v>10087.5</v>
      </c>
      <c r="AG27" s="16">
        <f t="shared" si="76"/>
        <v>20175</v>
      </c>
      <c r="AH27" s="16">
        <f t="shared" si="76"/>
        <v>20175</v>
      </c>
      <c r="AI27" s="16">
        <f t="shared" si="76"/>
        <v>20175</v>
      </c>
      <c r="AJ27" s="16">
        <f t="shared" si="76"/>
        <v>10087.5</v>
      </c>
      <c r="AK27" s="16">
        <f t="shared" si="76"/>
        <v>10087.5</v>
      </c>
      <c r="AL27" s="16">
        <f t="shared" si="76"/>
        <v>10087.5</v>
      </c>
      <c r="AM27" s="16">
        <f t="shared" si="76"/>
        <v>10087.5</v>
      </c>
      <c r="AN27" s="16">
        <f t="shared" si="76"/>
        <v>20175</v>
      </c>
      <c r="AO27" s="17">
        <f t="shared" si="76"/>
        <v>6725</v>
      </c>
      <c r="AP27" s="17">
        <f t="shared" si="55"/>
        <v>178212.5</v>
      </c>
      <c r="AQ27" s="10"/>
      <c r="AR27" s="24" t="s">
        <v>81</v>
      </c>
      <c r="AS27" s="22"/>
      <c r="AT27" s="22"/>
      <c r="AU27" s="22"/>
      <c r="AV27" s="83">
        <v>2000</v>
      </c>
      <c r="AW27" s="19" t="s">
        <v>79</v>
      </c>
      <c r="AX27" s="22"/>
      <c r="AY27" s="22"/>
      <c r="AZ27" s="22"/>
      <c r="BA27" s="10"/>
      <c r="BB27" s="10"/>
      <c r="CB27" s="3" t="s">
        <v>67</v>
      </c>
      <c r="CC27" s="88">
        <v>0.75</v>
      </c>
    </row>
    <row r="28" spans="1:81" ht="15">
      <c r="A28" s="24"/>
      <c r="B28" s="1" t="s">
        <v>24</v>
      </c>
      <c r="C28" s="24" t="s">
        <v>81</v>
      </c>
      <c r="D28" s="50">
        <f aca="true" t="shared" si="77" ref="D28:O28">$AV$27</f>
        <v>2000</v>
      </c>
      <c r="E28" s="50">
        <f t="shared" si="77"/>
        <v>2000</v>
      </c>
      <c r="F28" s="16">
        <f t="shared" si="77"/>
        <v>2000</v>
      </c>
      <c r="G28" s="16">
        <f t="shared" si="77"/>
        <v>2000</v>
      </c>
      <c r="H28" s="16">
        <f t="shared" si="77"/>
        <v>2000</v>
      </c>
      <c r="I28" s="16">
        <f t="shared" si="77"/>
        <v>2000</v>
      </c>
      <c r="J28" s="16">
        <f t="shared" si="77"/>
        <v>2000</v>
      </c>
      <c r="K28" s="16">
        <f t="shared" si="77"/>
        <v>2000</v>
      </c>
      <c r="L28" s="16">
        <f t="shared" si="77"/>
        <v>2000</v>
      </c>
      <c r="M28" s="16">
        <f t="shared" si="77"/>
        <v>2000</v>
      </c>
      <c r="N28" s="16">
        <f t="shared" si="77"/>
        <v>2000</v>
      </c>
      <c r="O28" s="16">
        <f t="shared" si="77"/>
        <v>2000</v>
      </c>
      <c r="P28" s="18">
        <f t="shared" si="18"/>
        <v>24000</v>
      </c>
      <c r="Q28" s="50">
        <f aca="true" t="shared" si="78" ref="Q28:AB28">$AV$27</f>
        <v>2000</v>
      </c>
      <c r="R28" s="50">
        <f t="shared" si="78"/>
        <v>2000</v>
      </c>
      <c r="S28" s="16">
        <f t="shared" si="78"/>
        <v>2000</v>
      </c>
      <c r="T28" s="16">
        <f t="shared" si="78"/>
        <v>2000</v>
      </c>
      <c r="U28" s="16">
        <f t="shared" si="78"/>
        <v>2000</v>
      </c>
      <c r="V28" s="16">
        <f t="shared" si="78"/>
        <v>2000</v>
      </c>
      <c r="W28" s="16">
        <f t="shared" si="78"/>
        <v>2000</v>
      </c>
      <c r="X28" s="16">
        <f t="shared" si="78"/>
        <v>2000</v>
      </c>
      <c r="Y28" s="16">
        <f t="shared" si="78"/>
        <v>2000</v>
      </c>
      <c r="Z28" s="16">
        <f t="shared" si="78"/>
        <v>2000</v>
      </c>
      <c r="AA28" s="16">
        <f t="shared" si="78"/>
        <v>2000</v>
      </c>
      <c r="AB28" s="16">
        <f t="shared" si="78"/>
        <v>2000</v>
      </c>
      <c r="AC28" s="18">
        <f t="shared" si="53"/>
        <v>24000</v>
      </c>
      <c r="AD28" s="50">
        <f aca="true" t="shared" si="79" ref="AD28:AO28">$AV$27</f>
        <v>2000</v>
      </c>
      <c r="AE28" s="50">
        <f t="shared" si="79"/>
        <v>2000</v>
      </c>
      <c r="AF28" s="16">
        <f t="shared" si="79"/>
        <v>2000</v>
      </c>
      <c r="AG28" s="16">
        <f t="shared" si="79"/>
        <v>2000</v>
      </c>
      <c r="AH28" s="16">
        <f t="shared" si="79"/>
        <v>2000</v>
      </c>
      <c r="AI28" s="16">
        <f t="shared" si="79"/>
        <v>2000</v>
      </c>
      <c r="AJ28" s="16">
        <f t="shared" si="79"/>
        <v>2000</v>
      </c>
      <c r="AK28" s="16">
        <f t="shared" si="79"/>
        <v>2000</v>
      </c>
      <c r="AL28" s="16">
        <f t="shared" si="79"/>
        <v>2000</v>
      </c>
      <c r="AM28" s="16">
        <f t="shared" si="79"/>
        <v>2000</v>
      </c>
      <c r="AN28" s="16">
        <f t="shared" si="79"/>
        <v>2000</v>
      </c>
      <c r="AO28" s="16">
        <f t="shared" si="79"/>
        <v>2000</v>
      </c>
      <c r="AP28" s="18">
        <f t="shared" si="55"/>
        <v>24000</v>
      </c>
      <c r="AQ28" s="10"/>
      <c r="AR28" s="24" t="s">
        <v>105</v>
      </c>
      <c r="AS28" s="22"/>
      <c r="AT28" s="22"/>
      <c r="AU28" s="22"/>
      <c r="AV28" s="83">
        <v>2000</v>
      </c>
      <c r="AW28" s="19" t="s">
        <v>79</v>
      </c>
      <c r="AX28" s="22"/>
      <c r="AY28" s="22"/>
      <c r="AZ28" s="22"/>
      <c r="BA28" s="10"/>
      <c r="BB28" s="10"/>
      <c r="CB28" s="3" t="s">
        <v>40</v>
      </c>
      <c r="CC28" s="88">
        <v>1.5</v>
      </c>
    </row>
    <row r="29" spans="1:81" ht="15">
      <c r="A29" s="24"/>
      <c r="B29" s="1" t="s">
        <v>25</v>
      </c>
      <c r="C29" s="24" t="s">
        <v>120</v>
      </c>
      <c r="D29" s="50">
        <f>$AV$24</f>
        <v>7000</v>
      </c>
      <c r="E29" s="50">
        <f aca="true" t="shared" si="80" ref="E29:O29">$AV$24</f>
        <v>7000</v>
      </c>
      <c r="F29" s="50">
        <f t="shared" si="80"/>
        <v>7000</v>
      </c>
      <c r="G29" s="50">
        <f t="shared" si="80"/>
        <v>7000</v>
      </c>
      <c r="H29" s="50">
        <f t="shared" si="80"/>
        <v>7000</v>
      </c>
      <c r="I29" s="50">
        <f t="shared" si="80"/>
        <v>7000</v>
      </c>
      <c r="J29" s="50">
        <f t="shared" si="80"/>
        <v>7000</v>
      </c>
      <c r="K29" s="50">
        <f t="shared" si="80"/>
        <v>7000</v>
      </c>
      <c r="L29" s="50">
        <f t="shared" si="80"/>
        <v>7000</v>
      </c>
      <c r="M29" s="50">
        <f t="shared" si="80"/>
        <v>7000</v>
      </c>
      <c r="N29" s="50">
        <f t="shared" si="80"/>
        <v>7000</v>
      </c>
      <c r="O29" s="50">
        <f t="shared" si="80"/>
        <v>7000</v>
      </c>
      <c r="P29" s="18">
        <f t="shared" si="18"/>
        <v>84000</v>
      </c>
      <c r="Q29" s="50">
        <f>$AV$24</f>
        <v>7000</v>
      </c>
      <c r="R29" s="50">
        <f aca="true" t="shared" si="81" ref="R29:AB29">$AV$24</f>
        <v>7000</v>
      </c>
      <c r="S29" s="50">
        <f t="shared" si="81"/>
        <v>7000</v>
      </c>
      <c r="T29" s="50">
        <f t="shared" si="81"/>
        <v>7000</v>
      </c>
      <c r="U29" s="50">
        <f t="shared" si="81"/>
        <v>7000</v>
      </c>
      <c r="V29" s="50">
        <f t="shared" si="81"/>
        <v>7000</v>
      </c>
      <c r="W29" s="50">
        <f t="shared" si="81"/>
        <v>7000</v>
      </c>
      <c r="X29" s="50">
        <f t="shared" si="81"/>
        <v>7000</v>
      </c>
      <c r="Y29" s="50">
        <f t="shared" si="81"/>
        <v>7000</v>
      </c>
      <c r="Z29" s="50">
        <f t="shared" si="81"/>
        <v>7000</v>
      </c>
      <c r="AA29" s="50">
        <f t="shared" si="81"/>
        <v>7000</v>
      </c>
      <c r="AB29" s="50">
        <f t="shared" si="81"/>
        <v>7000</v>
      </c>
      <c r="AC29" s="18">
        <f t="shared" si="53"/>
        <v>84000</v>
      </c>
      <c r="AD29" s="50">
        <f>$AV$24</f>
        <v>7000</v>
      </c>
      <c r="AE29" s="50">
        <f aca="true" t="shared" si="82" ref="AE29:AO29">$AV$24</f>
        <v>7000</v>
      </c>
      <c r="AF29" s="50">
        <f t="shared" si="82"/>
        <v>7000</v>
      </c>
      <c r="AG29" s="50">
        <f t="shared" si="82"/>
        <v>7000</v>
      </c>
      <c r="AH29" s="50">
        <f t="shared" si="82"/>
        <v>7000</v>
      </c>
      <c r="AI29" s="50">
        <f t="shared" si="82"/>
        <v>7000</v>
      </c>
      <c r="AJ29" s="50">
        <f t="shared" si="82"/>
        <v>7000</v>
      </c>
      <c r="AK29" s="50">
        <f t="shared" si="82"/>
        <v>7000</v>
      </c>
      <c r="AL29" s="50">
        <f t="shared" si="82"/>
        <v>7000</v>
      </c>
      <c r="AM29" s="50">
        <f t="shared" si="82"/>
        <v>7000</v>
      </c>
      <c r="AN29" s="50">
        <f t="shared" si="82"/>
        <v>7000</v>
      </c>
      <c r="AO29" s="50">
        <f t="shared" si="82"/>
        <v>7000</v>
      </c>
      <c r="AP29" s="18">
        <f t="shared" si="55"/>
        <v>84000</v>
      </c>
      <c r="AQ29" s="10"/>
      <c r="AR29" s="24" t="s">
        <v>137</v>
      </c>
      <c r="AS29" s="22"/>
      <c r="AT29" s="22"/>
      <c r="AU29" s="22"/>
      <c r="AV29" s="83">
        <v>3000</v>
      </c>
      <c r="AW29" s="19" t="s">
        <v>79</v>
      </c>
      <c r="AX29" s="22"/>
      <c r="AY29" s="22"/>
      <c r="AZ29" s="22"/>
      <c r="BA29" s="10"/>
      <c r="BB29" s="10"/>
      <c r="CB29" s="3" t="s">
        <v>70</v>
      </c>
      <c r="CC29" s="88">
        <v>1.5</v>
      </c>
    </row>
    <row r="30" spans="1:81" ht="15">
      <c r="A30" s="24"/>
      <c r="B30" s="1" t="s">
        <v>26</v>
      </c>
      <c r="C30" s="24" t="s">
        <v>105</v>
      </c>
      <c r="D30" s="50">
        <f aca="true" t="shared" si="83" ref="D30:O30">$AV$28</f>
        <v>2000</v>
      </c>
      <c r="E30" s="50">
        <f t="shared" si="83"/>
        <v>2000</v>
      </c>
      <c r="F30" s="16">
        <f t="shared" si="83"/>
        <v>2000</v>
      </c>
      <c r="G30" s="16">
        <f t="shared" si="83"/>
        <v>2000</v>
      </c>
      <c r="H30" s="16">
        <f t="shared" si="83"/>
        <v>2000</v>
      </c>
      <c r="I30" s="16">
        <f t="shared" si="83"/>
        <v>2000</v>
      </c>
      <c r="J30" s="16">
        <f t="shared" si="83"/>
        <v>2000</v>
      </c>
      <c r="K30" s="16">
        <f t="shared" si="83"/>
        <v>2000</v>
      </c>
      <c r="L30" s="16">
        <f t="shared" si="83"/>
        <v>2000</v>
      </c>
      <c r="M30" s="16">
        <f t="shared" si="83"/>
        <v>2000</v>
      </c>
      <c r="N30" s="16">
        <f t="shared" si="83"/>
        <v>2000</v>
      </c>
      <c r="O30" s="16">
        <f t="shared" si="83"/>
        <v>2000</v>
      </c>
      <c r="P30" s="18">
        <f t="shared" si="18"/>
        <v>24000</v>
      </c>
      <c r="Q30" s="50">
        <f aca="true" t="shared" si="84" ref="Q30:AB30">$AV$28</f>
        <v>2000</v>
      </c>
      <c r="R30" s="50">
        <f t="shared" si="84"/>
        <v>2000</v>
      </c>
      <c r="S30" s="16">
        <f t="shared" si="84"/>
        <v>2000</v>
      </c>
      <c r="T30" s="16">
        <f t="shared" si="84"/>
        <v>2000</v>
      </c>
      <c r="U30" s="16">
        <f t="shared" si="84"/>
        <v>2000</v>
      </c>
      <c r="V30" s="16">
        <f t="shared" si="84"/>
        <v>2000</v>
      </c>
      <c r="W30" s="16">
        <f t="shared" si="84"/>
        <v>2000</v>
      </c>
      <c r="X30" s="16">
        <f t="shared" si="84"/>
        <v>2000</v>
      </c>
      <c r="Y30" s="16">
        <f t="shared" si="84"/>
        <v>2000</v>
      </c>
      <c r="Z30" s="16">
        <f t="shared" si="84"/>
        <v>2000</v>
      </c>
      <c r="AA30" s="16">
        <f t="shared" si="84"/>
        <v>2000</v>
      </c>
      <c r="AB30" s="16">
        <f t="shared" si="84"/>
        <v>2000</v>
      </c>
      <c r="AC30" s="18">
        <f t="shared" si="53"/>
        <v>24000</v>
      </c>
      <c r="AD30" s="50">
        <f aca="true" t="shared" si="85" ref="AD30:AO30">$AV$28</f>
        <v>2000</v>
      </c>
      <c r="AE30" s="50">
        <f t="shared" si="85"/>
        <v>2000</v>
      </c>
      <c r="AF30" s="16">
        <f t="shared" si="85"/>
        <v>2000</v>
      </c>
      <c r="AG30" s="16">
        <f t="shared" si="85"/>
        <v>2000</v>
      </c>
      <c r="AH30" s="16">
        <f t="shared" si="85"/>
        <v>2000</v>
      </c>
      <c r="AI30" s="16">
        <f t="shared" si="85"/>
        <v>2000</v>
      </c>
      <c r="AJ30" s="16">
        <f t="shared" si="85"/>
        <v>2000</v>
      </c>
      <c r="AK30" s="16">
        <f t="shared" si="85"/>
        <v>2000</v>
      </c>
      <c r="AL30" s="16">
        <f t="shared" si="85"/>
        <v>2000</v>
      </c>
      <c r="AM30" s="16">
        <f t="shared" si="85"/>
        <v>2000</v>
      </c>
      <c r="AN30" s="16">
        <f t="shared" si="85"/>
        <v>2000</v>
      </c>
      <c r="AO30" s="16">
        <f t="shared" si="85"/>
        <v>2000</v>
      </c>
      <c r="AP30" s="18">
        <f t="shared" si="55"/>
        <v>24000</v>
      </c>
      <c r="AQ30" s="10"/>
      <c r="AR30" s="24"/>
      <c r="AS30" s="22"/>
      <c r="AT30" s="22"/>
      <c r="AU30" s="22"/>
      <c r="AV30" s="19"/>
      <c r="AW30" s="19"/>
      <c r="AX30" s="22"/>
      <c r="AY30" s="22"/>
      <c r="AZ30" s="22"/>
      <c r="BA30" s="10"/>
      <c r="BB30" s="10"/>
      <c r="CB30" s="3" t="s">
        <v>71</v>
      </c>
      <c r="CC30" s="88">
        <v>1.5</v>
      </c>
    </row>
    <row r="31" spans="1:81" ht="15">
      <c r="A31" s="24"/>
      <c r="B31" s="1" t="s">
        <v>121</v>
      </c>
      <c r="C31" s="24" t="s">
        <v>138</v>
      </c>
      <c r="D31" s="50">
        <f aca="true" t="shared" si="86" ref="D31:O31">$AV$29</f>
        <v>3000</v>
      </c>
      <c r="E31" s="50">
        <f t="shared" si="86"/>
        <v>3000</v>
      </c>
      <c r="F31" s="16">
        <f t="shared" si="86"/>
        <v>3000</v>
      </c>
      <c r="G31" s="16">
        <f t="shared" si="86"/>
        <v>3000</v>
      </c>
      <c r="H31" s="16">
        <f t="shared" si="86"/>
        <v>3000</v>
      </c>
      <c r="I31" s="16">
        <f t="shared" si="86"/>
        <v>3000</v>
      </c>
      <c r="J31" s="16">
        <f t="shared" si="86"/>
        <v>3000</v>
      </c>
      <c r="K31" s="16">
        <f t="shared" si="86"/>
        <v>3000</v>
      </c>
      <c r="L31" s="16">
        <f t="shared" si="86"/>
        <v>3000</v>
      </c>
      <c r="M31" s="16">
        <f t="shared" si="86"/>
        <v>3000</v>
      </c>
      <c r="N31" s="16">
        <f t="shared" si="86"/>
        <v>3000</v>
      </c>
      <c r="O31" s="16">
        <f t="shared" si="86"/>
        <v>3000</v>
      </c>
      <c r="P31" s="18">
        <f t="shared" si="18"/>
        <v>36000</v>
      </c>
      <c r="Q31" s="50">
        <f aca="true" t="shared" si="87" ref="Q31:AB31">$AV$29</f>
        <v>3000</v>
      </c>
      <c r="R31" s="50">
        <f t="shared" si="87"/>
        <v>3000</v>
      </c>
      <c r="S31" s="16">
        <f t="shared" si="87"/>
        <v>3000</v>
      </c>
      <c r="T31" s="16">
        <f t="shared" si="87"/>
        <v>3000</v>
      </c>
      <c r="U31" s="16">
        <f t="shared" si="87"/>
        <v>3000</v>
      </c>
      <c r="V31" s="16">
        <f t="shared" si="87"/>
        <v>3000</v>
      </c>
      <c r="W31" s="16">
        <f t="shared" si="87"/>
        <v>3000</v>
      </c>
      <c r="X31" s="16">
        <f t="shared" si="87"/>
        <v>3000</v>
      </c>
      <c r="Y31" s="16">
        <f t="shared" si="87"/>
        <v>3000</v>
      </c>
      <c r="Z31" s="16">
        <f t="shared" si="87"/>
        <v>3000</v>
      </c>
      <c r="AA31" s="16">
        <f t="shared" si="87"/>
        <v>3000</v>
      </c>
      <c r="AB31" s="16">
        <f t="shared" si="87"/>
        <v>3000</v>
      </c>
      <c r="AC31" s="18">
        <f t="shared" si="53"/>
        <v>36000</v>
      </c>
      <c r="AD31" s="50">
        <f aca="true" t="shared" si="88" ref="AD31:AO31">$AV$29</f>
        <v>3000</v>
      </c>
      <c r="AE31" s="50">
        <f t="shared" si="88"/>
        <v>3000</v>
      </c>
      <c r="AF31" s="16">
        <f t="shared" si="88"/>
        <v>3000</v>
      </c>
      <c r="AG31" s="16">
        <f t="shared" si="88"/>
        <v>3000</v>
      </c>
      <c r="AH31" s="16">
        <f t="shared" si="88"/>
        <v>3000</v>
      </c>
      <c r="AI31" s="16">
        <f t="shared" si="88"/>
        <v>3000</v>
      </c>
      <c r="AJ31" s="16">
        <f t="shared" si="88"/>
        <v>3000</v>
      </c>
      <c r="AK31" s="16">
        <f t="shared" si="88"/>
        <v>3000</v>
      </c>
      <c r="AL31" s="16">
        <f t="shared" si="88"/>
        <v>3000</v>
      </c>
      <c r="AM31" s="16">
        <f t="shared" si="88"/>
        <v>3000</v>
      </c>
      <c r="AN31" s="16">
        <f t="shared" si="88"/>
        <v>3000</v>
      </c>
      <c r="AO31" s="16">
        <f t="shared" si="88"/>
        <v>3000</v>
      </c>
      <c r="AP31" s="18">
        <f t="shared" si="55"/>
        <v>36000</v>
      </c>
      <c r="AQ31" s="10"/>
      <c r="AR31" s="1" t="s">
        <v>83</v>
      </c>
      <c r="AS31" s="22"/>
      <c r="AT31" s="22"/>
      <c r="AU31" s="22"/>
      <c r="AV31" s="83">
        <v>50000</v>
      </c>
      <c r="AW31" s="19" t="s">
        <v>79</v>
      </c>
      <c r="AX31" s="22"/>
      <c r="AY31" s="22"/>
      <c r="AZ31" s="22"/>
      <c r="BA31" s="10"/>
      <c r="BB31" s="10"/>
      <c r="CB31" s="3" t="s">
        <v>73</v>
      </c>
      <c r="CC31" s="88">
        <v>0.75</v>
      </c>
    </row>
    <row r="32" spans="1:81" ht="15">
      <c r="A32" s="24" t="s">
        <v>27</v>
      </c>
      <c r="B32" s="24" t="s">
        <v>83</v>
      </c>
      <c r="C32" s="24"/>
      <c r="D32" s="50">
        <f aca="true" t="shared" si="89" ref="D32:O32">$AV$31</f>
        <v>50000</v>
      </c>
      <c r="E32" s="50">
        <f t="shared" si="89"/>
        <v>50000</v>
      </c>
      <c r="F32" s="16">
        <f t="shared" si="89"/>
        <v>50000</v>
      </c>
      <c r="G32" s="16">
        <f t="shared" si="89"/>
        <v>50000</v>
      </c>
      <c r="H32" s="16">
        <f t="shared" si="89"/>
        <v>50000</v>
      </c>
      <c r="I32" s="16">
        <f t="shared" si="89"/>
        <v>50000</v>
      </c>
      <c r="J32" s="16">
        <f t="shared" si="89"/>
        <v>50000</v>
      </c>
      <c r="K32" s="16">
        <f t="shared" si="89"/>
        <v>50000</v>
      </c>
      <c r="L32" s="16">
        <f t="shared" si="89"/>
        <v>50000</v>
      </c>
      <c r="M32" s="16">
        <f t="shared" si="89"/>
        <v>50000</v>
      </c>
      <c r="N32" s="16">
        <f t="shared" si="89"/>
        <v>50000</v>
      </c>
      <c r="O32" s="16">
        <f t="shared" si="89"/>
        <v>50000</v>
      </c>
      <c r="P32" s="18">
        <f t="shared" si="18"/>
        <v>600000</v>
      </c>
      <c r="Q32" s="50">
        <f aca="true" t="shared" si="90" ref="Q32:AB32">$AV$31</f>
        <v>50000</v>
      </c>
      <c r="R32" s="50">
        <f t="shared" si="90"/>
        <v>50000</v>
      </c>
      <c r="S32" s="16">
        <f t="shared" si="90"/>
        <v>50000</v>
      </c>
      <c r="T32" s="16">
        <f t="shared" si="90"/>
        <v>50000</v>
      </c>
      <c r="U32" s="16">
        <f t="shared" si="90"/>
        <v>50000</v>
      </c>
      <c r="V32" s="16">
        <f t="shared" si="90"/>
        <v>50000</v>
      </c>
      <c r="W32" s="16">
        <f t="shared" si="90"/>
        <v>50000</v>
      </c>
      <c r="X32" s="16">
        <f t="shared" si="90"/>
        <v>50000</v>
      </c>
      <c r="Y32" s="16">
        <f t="shared" si="90"/>
        <v>50000</v>
      </c>
      <c r="Z32" s="16">
        <f t="shared" si="90"/>
        <v>50000</v>
      </c>
      <c r="AA32" s="16">
        <f t="shared" si="90"/>
        <v>50000</v>
      </c>
      <c r="AB32" s="16">
        <f t="shared" si="90"/>
        <v>50000</v>
      </c>
      <c r="AC32" s="18">
        <f t="shared" si="53"/>
        <v>600000</v>
      </c>
      <c r="AD32" s="50">
        <f aca="true" t="shared" si="91" ref="AD32:AO32">$AV$31</f>
        <v>50000</v>
      </c>
      <c r="AE32" s="50">
        <f t="shared" si="91"/>
        <v>50000</v>
      </c>
      <c r="AF32" s="16">
        <f t="shared" si="91"/>
        <v>50000</v>
      </c>
      <c r="AG32" s="16">
        <f t="shared" si="91"/>
        <v>50000</v>
      </c>
      <c r="AH32" s="16">
        <f t="shared" si="91"/>
        <v>50000</v>
      </c>
      <c r="AI32" s="16">
        <f t="shared" si="91"/>
        <v>50000</v>
      </c>
      <c r="AJ32" s="16">
        <f t="shared" si="91"/>
        <v>50000</v>
      </c>
      <c r="AK32" s="16">
        <f t="shared" si="91"/>
        <v>50000</v>
      </c>
      <c r="AL32" s="16">
        <f t="shared" si="91"/>
        <v>50000</v>
      </c>
      <c r="AM32" s="16">
        <f t="shared" si="91"/>
        <v>50000</v>
      </c>
      <c r="AN32" s="16">
        <f t="shared" si="91"/>
        <v>50000</v>
      </c>
      <c r="AO32" s="16">
        <f t="shared" si="91"/>
        <v>50000</v>
      </c>
      <c r="AP32" s="18">
        <f t="shared" si="55"/>
        <v>600000</v>
      </c>
      <c r="AQ32" s="10"/>
      <c r="AR32" s="24" t="str">
        <f>C34</f>
        <v>маркетинговый взнос</v>
      </c>
      <c r="AS32" s="22"/>
      <c r="AT32" s="22" t="s">
        <v>118</v>
      </c>
      <c r="AU32" s="22"/>
      <c r="AV32" s="86">
        <v>200</v>
      </c>
      <c r="AW32" s="19" t="s">
        <v>79</v>
      </c>
      <c r="AX32" s="22"/>
      <c r="AY32" s="22"/>
      <c r="AZ32" s="22"/>
      <c r="BA32" s="10"/>
      <c r="BB32" s="10"/>
      <c r="CB32" s="3" t="s">
        <v>74</v>
      </c>
      <c r="CC32" s="88">
        <v>0.75</v>
      </c>
    </row>
    <row r="33" spans="1:81" ht="15">
      <c r="A33" s="24" t="s">
        <v>28</v>
      </c>
      <c r="B33" s="1" t="s">
        <v>29</v>
      </c>
      <c r="C33" s="24"/>
      <c r="D33" s="50">
        <f>SUM(D34:D35)</f>
        <v>2000</v>
      </c>
      <c r="E33" s="50">
        <f aca="true" t="shared" si="92" ref="E33:O33">SUM(E34:E35)</f>
        <v>2000</v>
      </c>
      <c r="F33" s="16">
        <f t="shared" si="92"/>
        <v>2000</v>
      </c>
      <c r="G33" s="16">
        <f t="shared" si="92"/>
        <v>2000</v>
      </c>
      <c r="H33" s="16">
        <f t="shared" si="92"/>
        <v>2000</v>
      </c>
      <c r="I33" s="16">
        <f t="shared" si="92"/>
        <v>2000</v>
      </c>
      <c r="J33" s="16">
        <f t="shared" si="92"/>
        <v>2000</v>
      </c>
      <c r="K33" s="16">
        <f t="shared" si="92"/>
        <v>2000</v>
      </c>
      <c r="L33" s="16">
        <f t="shared" si="92"/>
        <v>2000</v>
      </c>
      <c r="M33" s="16">
        <f t="shared" si="92"/>
        <v>2000</v>
      </c>
      <c r="N33" s="16">
        <f t="shared" si="92"/>
        <v>2000</v>
      </c>
      <c r="O33" s="16">
        <f t="shared" si="92"/>
        <v>2000</v>
      </c>
      <c r="P33" s="18">
        <f t="shared" si="18"/>
        <v>24000</v>
      </c>
      <c r="Q33" s="50">
        <f>SUM(Q34:Q35)</f>
        <v>2000</v>
      </c>
      <c r="R33" s="50">
        <f aca="true" t="shared" si="93" ref="R33:AB33">SUM(R34:R35)</f>
        <v>2000</v>
      </c>
      <c r="S33" s="16">
        <f t="shared" si="93"/>
        <v>2000</v>
      </c>
      <c r="T33" s="16">
        <f t="shared" si="93"/>
        <v>2000</v>
      </c>
      <c r="U33" s="16">
        <f t="shared" si="93"/>
        <v>2000</v>
      </c>
      <c r="V33" s="16">
        <f t="shared" si="93"/>
        <v>2000</v>
      </c>
      <c r="W33" s="16">
        <f t="shared" si="93"/>
        <v>2000</v>
      </c>
      <c r="X33" s="16">
        <f t="shared" si="93"/>
        <v>2000</v>
      </c>
      <c r="Y33" s="16">
        <f t="shared" si="93"/>
        <v>2000</v>
      </c>
      <c r="Z33" s="16">
        <f t="shared" si="93"/>
        <v>2000</v>
      </c>
      <c r="AA33" s="16">
        <f t="shared" si="93"/>
        <v>2000</v>
      </c>
      <c r="AB33" s="16">
        <f t="shared" si="93"/>
        <v>2000</v>
      </c>
      <c r="AC33" s="18">
        <f t="shared" si="53"/>
        <v>24000</v>
      </c>
      <c r="AD33" s="50">
        <f>SUM(AD34:AD35)</f>
        <v>2000</v>
      </c>
      <c r="AE33" s="50">
        <f aca="true" t="shared" si="94" ref="AE33:AO33">SUM(AE34:AE35)</f>
        <v>2000</v>
      </c>
      <c r="AF33" s="16">
        <f t="shared" si="94"/>
        <v>2000</v>
      </c>
      <c r="AG33" s="16">
        <f t="shared" si="94"/>
        <v>2000</v>
      </c>
      <c r="AH33" s="16">
        <f t="shared" si="94"/>
        <v>2000</v>
      </c>
      <c r="AI33" s="16">
        <f t="shared" si="94"/>
        <v>2000</v>
      </c>
      <c r="AJ33" s="16">
        <f t="shared" si="94"/>
        <v>2000</v>
      </c>
      <c r="AK33" s="16">
        <f t="shared" si="94"/>
        <v>2000</v>
      </c>
      <c r="AL33" s="16">
        <f t="shared" si="94"/>
        <v>2000</v>
      </c>
      <c r="AM33" s="16">
        <f t="shared" si="94"/>
        <v>2000</v>
      </c>
      <c r="AN33" s="16">
        <f t="shared" si="94"/>
        <v>2000</v>
      </c>
      <c r="AO33" s="16">
        <f t="shared" si="94"/>
        <v>2000</v>
      </c>
      <c r="AP33" s="18">
        <f t="shared" si="55"/>
        <v>24000</v>
      </c>
      <c r="AQ33" s="10"/>
      <c r="AR33" s="24" t="str">
        <f>C35</f>
        <v>роялти</v>
      </c>
      <c r="AS33" s="22"/>
      <c r="AT33" s="22"/>
      <c r="AU33" s="22"/>
      <c r="AV33" s="81">
        <v>0</v>
      </c>
      <c r="AW33" s="19" t="s">
        <v>79</v>
      </c>
      <c r="AX33" s="22"/>
      <c r="AY33" s="22"/>
      <c r="AZ33" s="22"/>
      <c r="BA33" s="10"/>
      <c r="BB33" s="10"/>
      <c r="CB33" s="3" t="s">
        <v>75</v>
      </c>
      <c r="CC33" s="88">
        <v>0.75</v>
      </c>
    </row>
    <row r="34" spans="1:81" ht="15">
      <c r="A34" s="24"/>
      <c r="B34" s="1" t="s">
        <v>30</v>
      </c>
      <c r="C34" s="24" t="s">
        <v>84</v>
      </c>
      <c r="D34" s="50">
        <f>$AV$32*$AX$21</f>
        <v>2000</v>
      </c>
      <c r="E34" s="50">
        <f aca="true" t="shared" si="95" ref="E34:O34">$AV$32*$AX$21</f>
        <v>2000</v>
      </c>
      <c r="F34" s="50">
        <f t="shared" si="95"/>
        <v>2000</v>
      </c>
      <c r="G34" s="50">
        <f t="shared" si="95"/>
        <v>2000</v>
      </c>
      <c r="H34" s="50">
        <f t="shared" si="95"/>
        <v>2000</v>
      </c>
      <c r="I34" s="50">
        <f t="shared" si="95"/>
        <v>2000</v>
      </c>
      <c r="J34" s="50">
        <f t="shared" si="95"/>
        <v>2000</v>
      </c>
      <c r="K34" s="50">
        <f t="shared" si="95"/>
        <v>2000</v>
      </c>
      <c r="L34" s="50">
        <f t="shared" si="95"/>
        <v>2000</v>
      </c>
      <c r="M34" s="50">
        <f t="shared" si="95"/>
        <v>2000</v>
      </c>
      <c r="N34" s="50">
        <f t="shared" si="95"/>
        <v>2000</v>
      </c>
      <c r="O34" s="50">
        <f t="shared" si="95"/>
        <v>2000</v>
      </c>
      <c r="P34" s="18">
        <f t="shared" si="18"/>
        <v>24000</v>
      </c>
      <c r="Q34" s="50">
        <f>$AV$32*$AX$21</f>
        <v>2000</v>
      </c>
      <c r="R34" s="50">
        <f aca="true" t="shared" si="96" ref="R34:AB34">$AV$32*$AX$21</f>
        <v>2000</v>
      </c>
      <c r="S34" s="50">
        <f t="shared" si="96"/>
        <v>2000</v>
      </c>
      <c r="T34" s="50">
        <f t="shared" si="96"/>
        <v>2000</v>
      </c>
      <c r="U34" s="50">
        <f t="shared" si="96"/>
        <v>2000</v>
      </c>
      <c r="V34" s="50">
        <f t="shared" si="96"/>
        <v>2000</v>
      </c>
      <c r="W34" s="50">
        <f t="shared" si="96"/>
        <v>2000</v>
      </c>
      <c r="X34" s="50">
        <f t="shared" si="96"/>
        <v>2000</v>
      </c>
      <c r="Y34" s="50">
        <f t="shared" si="96"/>
        <v>2000</v>
      </c>
      <c r="Z34" s="50">
        <f t="shared" si="96"/>
        <v>2000</v>
      </c>
      <c r="AA34" s="50">
        <f t="shared" si="96"/>
        <v>2000</v>
      </c>
      <c r="AB34" s="50">
        <f t="shared" si="96"/>
        <v>2000</v>
      </c>
      <c r="AC34" s="18">
        <f t="shared" si="53"/>
        <v>24000</v>
      </c>
      <c r="AD34" s="50">
        <f>$AV$32*$AX$21</f>
        <v>2000</v>
      </c>
      <c r="AE34" s="50">
        <f aca="true" t="shared" si="97" ref="AE34:AO34">$AV$32*$AX$21</f>
        <v>2000</v>
      </c>
      <c r="AF34" s="50">
        <f t="shared" si="97"/>
        <v>2000</v>
      </c>
      <c r="AG34" s="50">
        <f t="shared" si="97"/>
        <v>2000</v>
      </c>
      <c r="AH34" s="50">
        <f t="shared" si="97"/>
        <v>2000</v>
      </c>
      <c r="AI34" s="50">
        <f t="shared" si="97"/>
        <v>2000</v>
      </c>
      <c r="AJ34" s="50">
        <f t="shared" si="97"/>
        <v>2000</v>
      </c>
      <c r="AK34" s="50">
        <f t="shared" si="97"/>
        <v>2000</v>
      </c>
      <c r="AL34" s="50">
        <f t="shared" si="97"/>
        <v>2000</v>
      </c>
      <c r="AM34" s="50">
        <f t="shared" si="97"/>
        <v>2000</v>
      </c>
      <c r="AN34" s="50">
        <f t="shared" si="97"/>
        <v>2000</v>
      </c>
      <c r="AO34" s="50">
        <f t="shared" si="97"/>
        <v>2000</v>
      </c>
      <c r="AP34" s="18">
        <f t="shared" si="55"/>
        <v>24000</v>
      </c>
      <c r="AQ34" s="10"/>
      <c r="AR34" s="101" t="s">
        <v>89</v>
      </c>
      <c r="AS34" s="101"/>
      <c r="AT34" s="101"/>
      <c r="AU34" s="101"/>
      <c r="AV34" s="101"/>
      <c r="AW34" s="101"/>
      <c r="AX34" s="101"/>
      <c r="AY34" s="101"/>
      <c r="AZ34" s="101"/>
      <c r="BA34" s="10"/>
      <c r="BB34" s="10"/>
      <c r="CB34" s="3" t="s">
        <v>56</v>
      </c>
      <c r="CC34" s="88">
        <v>0.75</v>
      </c>
    </row>
    <row r="35" spans="1:81" ht="15">
      <c r="A35" s="24"/>
      <c r="B35" s="1" t="s">
        <v>31</v>
      </c>
      <c r="C35" s="24" t="s">
        <v>139</v>
      </c>
      <c r="D35" s="50">
        <f aca="true" t="shared" si="98" ref="D35:O35">$AV$33</f>
        <v>0</v>
      </c>
      <c r="E35" s="50">
        <f t="shared" si="98"/>
        <v>0</v>
      </c>
      <c r="F35" s="16">
        <f t="shared" si="98"/>
        <v>0</v>
      </c>
      <c r="G35" s="16">
        <f t="shared" si="98"/>
        <v>0</v>
      </c>
      <c r="H35" s="16">
        <f t="shared" si="98"/>
        <v>0</v>
      </c>
      <c r="I35" s="16">
        <f t="shared" si="98"/>
        <v>0</v>
      </c>
      <c r="J35" s="16">
        <f t="shared" si="98"/>
        <v>0</v>
      </c>
      <c r="K35" s="16">
        <f t="shared" si="98"/>
        <v>0</v>
      </c>
      <c r="L35" s="16">
        <f t="shared" si="98"/>
        <v>0</v>
      </c>
      <c r="M35" s="16">
        <f t="shared" si="98"/>
        <v>0</v>
      </c>
      <c r="N35" s="16">
        <f t="shared" si="98"/>
        <v>0</v>
      </c>
      <c r="O35" s="16">
        <f t="shared" si="98"/>
        <v>0</v>
      </c>
      <c r="P35" s="18">
        <f t="shared" si="18"/>
        <v>0</v>
      </c>
      <c r="Q35" s="50">
        <f aca="true" t="shared" si="99" ref="Q35:AB35">$AV$33</f>
        <v>0</v>
      </c>
      <c r="R35" s="50">
        <f t="shared" si="99"/>
        <v>0</v>
      </c>
      <c r="S35" s="16">
        <f t="shared" si="99"/>
        <v>0</v>
      </c>
      <c r="T35" s="16">
        <f t="shared" si="99"/>
        <v>0</v>
      </c>
      <c r="U35" s="16">
        <f t="shared" si="99"/>
        <v>0</v>
      </c>
      <c r="V35" s="16">
        <f t="shared" si="99"/>
        <v>0</v>
      </c>
      <c r="W35" s="16">
        <f t="shared" si="99"/>
        <v>0</v>
      </c>
      <c r="X35" s="16">
        <f t="shared" si="99"/>
        <v>0</v>
      </c>
      <c r="Y35" s="16">
        <f t="shared" si="99"/>
        <v>0</v>
      </c>
      <c r="Z35" s="16">
        <f t="shared" si="99"/>
        <v>0</v>
      </c>
      <c r="AA35" s="16">
        <f t="shared" si="99"/>
        <v>0</v>
      </c>
      <c r="AB35" s="16">
        <f t="shared" si="99"/>
        <v>0</v>
      </c>
      <c r="AC35" s="18">
        <f t="shared" si="53"/>
        <v>0</v>
      </c>
      <c r="AD35" s="50">
        <f aca="true" t="shared" si="100" ref="AD35:AO35">$AV$33</f>
        <v>0</v>
      </c>
      <c r="AE35" s="50">
        <f t="shared" si="100"/>
        <v>0</v>
      </c>
      <c r="AF35" s="16">
        <f t="shared" si="100"/>
        <v>0</v>
      </c>
      <c r="AG35" s="16">
        <f t="shared" si="100"/>
        <v>0</v>
      </c>
      <c r="AH35" s="16">
        <f t="shared" si="100"/>
        <v>0</v>
      </c>
      <c r="AI35" s="16">
        <f t="shared" si="100"/>
        <v>0</v>
      </c>
      <c r="AJ35" s="16">
        <f t="shared" si="100"/>
        <v>0</v>
      </c>
      <c r="AK35" s="16">
        <f t="shared" si="100"/>
        <v>0</v>
      </c>
      <c r="AL35" s="16">
        <f t="shared" si="100"/>
        <v>0</v>
      </c>
      <c r="AM35" s="16">
        <f t="shared" si="100"/>
        <v>0</v>
      </c>
      <c r="AN35" s="16">
        <f t="shared" si="100"/>
        <v>0</v>
      </c>
      <c r="AO35" s="16">
        <f t="shared" si="100"/>
        <v>0</v>
      </c>
      <c r="AP35" s="18">
        <f t="shared" si="55"/>
        <v>0</v>
      </c>
      <c r="AQ35" s="10"/>
      <c r="AR35" s="22"/>
      <c r="AS35" s="22"/>
      <c r="AT35" s="22"/>
      <c r="AU35" s="22"/>
      <c r="AV35" s="22"/>
      <c r="AW35" s="22"/>
      <c r="AX35" s="22"/>
      <c r="AY35" s="22"/>
      <c r="AZ35" s="22"/>
      <c r="BA35" s="10"/>
      <c r="BB35" s="10"/>
      <c r="CB35" s="3" t="s">
        <v>78</v>
      </c>
      <c r="CC35" s="88">
        <v>1.5</v>
      </c>
    </row>
    <row r="36" spans="1:54" ht="15">
      <c r="A36" s="111" t="s">
        <v>85</v>
      </c>
      <c r="B36" s="111"/>
      <c r="C36" s="112"/>
      <c r="D36" s="62">
        <f aca="true" t="shared" si="101" ref="D36:O36">D14-D15</f>
        <v>192511.89655172414</v>
      </c>
      <c r="E36" s="63">
        <f t="shared" si="101"/>
        <v>255118.14655172414</v>
      </c>
      <c r="F36" s="70">
        <f t="shared" si="101"/>
        <v>67299.39655172414</v>
      </c>
      <c r="G36" s="70">
        <f t="shared" si="101"/>
        <v>349027.5215517242</v>
      </c>
      <c r="H36" s="70">
        <f t="shared" si="101"/>
        <v>380330.6465517242</v>
      </c>
      <c r="I36" s="70">
        <f t="shared" si="101"/>
        <v>411633.7715517242</v>
      </c>
      <c r="J36" s="70">
        <f t="shared" si="101"/>
        <v>129905.64655172414</v>
      </c>
      <c r="K36" s="70">
        <f t="shared" si="101"/>
        <v>129905.64655172414</v>
      </c>
      <c r="L36" s="70">
        <f t="shared" si="101"/>
        <v>129905.64655172414</v>
      </c>
      <c r="M36" s="70">
        <f t="shared" si="101"/>
        <v>129905.64655172414</v>
      </c>
      <c r="N36" s="70">
        <f t="shared" si="101"/>
        <v>442936.8965517242</v>
      </c>
      <c r="O36" s="70">
        <f t="shared" si="101"/>
        <v>25561.896551724145</v>
      </c>
      <c r="P36" s="64">
        <f t="shared" si="18"/>
        <v>2644042.758620689</v>
      </c>
      <c r="Q36" s="62">
        <f aca="true" t="shared" si="102" ref="Q36:AB36">Q14-Q15</f>
        <v>442936.8965517242</v>
      </c>
      <c r="R36" s="63">
        <f t="shared" si="102"/>
        <v>442936.8965517242</v>
      </c>
      <c r="S36" s="70">
        <f t="shared" si="102"/>
        <v>129905.64655172414</v>
      </c>
      <c r="T36" s="70">
        <f t="shared" si="102"/>
        <v>442936.8965517242</v>
      </c>
      <c r="U36" s="70">
        <f t="shared" si="102"/>
        <v>442936.8965517242</v>
      </c>
      <c r="V36" s="70">
        <f t="shared" si="102"/>
        <v>442936.8965517242</v>
      </c>
      <c r="W36" s="70">
        <f t="shared" si="102"/>
        <v>129905.64655172414</v>
      </c>
      <c r="X36" s="70">
        <f t="shared" si="102"/>
        <v>129905.64655172414</v>
      </c>
      <c r="Y36" s="70">
        <f t="shared" si="102"/>
        <v>129905.64655172414</v>
      </c>
      <c r="Z36" s="70">
        <f t="shared" si="102"/>
        <v>129905.64655172414</v>
      </c>
      <c r="AA36" s="70">
        <f t="shared" si="102"/>
        <v>442936.8965517242</v>
      </c>
      <c r="AB36" s="70">
        <f t="shared" si="102"/>
        <v>25561.896551724145</v>
      </c>
      <c r="AC36" s="64">
        <f t="shared" si="53"/>
        <v>3332711.508620689</v>
      </c>
      <c r="AD36" s="62">
        <f aca="true" t="shared" si="103" ref="AD36:AO36">AD14-AD15</f>
        <v>442936.8965517242</v>
      </c>
      <c r="AE36" s="63">
        <f t="shared" si="103"/>
        <v>442936.8965517242</v>
      </c>
      <c r="AF36" s="70">
        <f t="shared" si="103"/>
        <v>129905.64655172414</v>
      </c>
      <c r="AG36" s="70">
        <f t="shared" si="103"/>
        <v>442936.8965517242</v>
      </c>
      <c r="AH36" s="70">
        <f t="shared" si="103"/>
        <v>442936.8965517242</v>
      </c>
      <c r="AI36" s="70">
        <f t="shared" si="103"/>
        <v>442936.8965517242</v>
      </c>
      <c r="AJ36" s="70">
        <f t="shared" si="103"/>
        <v>129905.64655172414</v>
      </c>
      <c r="AK36" s="70">
        <f t="shared" si="103"/>
        <v>129905.64655172414</v>
      </c>
      <c r="AL36" s="70">
        <f t="shared" si="103"/>
        <v>129905.64655172414</v>
      </c>
      <c r="AM36" s="70">
        <f t="shared" si="103"/>
        <v>129905.64655172414</v>
      </c>
      <c r="AN36" s="70">
        <f t="shared" si="103"/>
        <v>442936.8965517242</v>
      </c>
      <c r="AO36" s="70">
        <f t="shared" si="103"/>
        <v>25561.896551724145</v>
      </c>
      <c r="AP36" s="64">
        <f t="shared" si="55"/>
        <v>3332711.508620689</v>
      </c>
      <c r="AQ36" s="10"/>
      <c r="AR36" s="22" t="s">
        <v>125</v>
      </c>
      <c r="AS36" s="22"/>
      <c r="AT36" s="21" t="s">
        <v>126</v>
      </c>
      <c r="AU36" s="104">
        <v>1.798</v>
      </c>
      <c r="AV36" s="21" t="s">
        <v>127</v>
      </c>
      <c r="AW36" s="104">
        <v>1</v>
      </c>
      <c r="AX36" s="22"/>
      <c r="AY36" s="22"/>
      <c r="AZ36" s="22"/>
      <c r="BA36" s="10"/>
      <c r="BB36" s="10"/>
    </row>
    <row r="37" spans="1:54" ht="15">
      <c r="A37" s="4" t="s">
        <v>86</v>
      </c>
      <c r="B37" s="6" t="s">
        <v>87</v>
      </c>
      <c r="C37" s="4"/>
      <c r="D37" s="51">
        <f>0</f>
        <v>0</v>
      </c>
      <c r="E37" s="52">
        <f>0</f>
        <v>0</v>
      </c>
      <c r="F37" s="30">
        <f>0</f>
        <v>0</v>
      </c>
      <c r="G37" s="30">
        <f>0</f>
        <v>0</v>
      </c>
      <c r="H37" s="30">
        <f>0</f>
        <v>0</v>
      </c>
      <c r="I37" s="30">
        <f>0</f>
        <v>0</v>
      </c>
      <c r="J37" s="30">
        <f>0</f>
        <v>0</v>
      </c>
      <c r="K37" s="30">
        <f>0</f>
        <v>0</v>
      </c>
      <c r="L37" s="30">
        <f>0</f>
        <v>0</v>
      </c>
      <c r="M37" s="30">
        <f>0</f>
        <v>0</v>
      </c>
      <c r="N37" s="30">
        <f>0</f>
        <v>0</v>
      </c>
      <c r="O37" s="30">
        <f>0</f>
        <v>0</v>
      </c>
      <c r="P37" s="18">
        <f t="shared" si="18"/>
        <v>0</v>
      </c>
      <c r="Q37" s="51">
        <f>0</f>
        <v>0</v>
      </c>
      <c r="R37" s="52">
        <f>0</f>
        <v>0</v>
      </c>
      <c r="S37" s="30">
        <f>0</f>
        <v>0</v>
      </c>
      <c r="T37" s="30">
        <f>0</f>
        <v>0</v>
      </c>
      <c r="U37" s="30">
        <f>0</f>
        <v>0</v>
      </c>
      <c r="V37" s="30">
        <f>0</f>
        <v>0</v>
      </c>
      <c r="W37" s="30">
        <f>0</f>
        <v>0</v>
      </c>
      <c r="X37" s="30">
        <f>0</f>
        <v>0</v>
      </c>
      <c r="Y37" s="30">
        <f>0</f>
        <v>0</v>
      </c>
      <c r="Z37" s="30">
        <f>0</f>
        <v>0</v>
      </c>
      <c r="AA37" s="30">
        <f>0</f>
        <v>0</v>
      </c>
      <c r="AB37" s="30">
        <f>0</f>
        <v>0</v>
      </c>
      <c r="AC37" s="18">
        <f t="shared" si="53"/>
        <v>0</v>
      </c>
      <c r="AD37" s="51">
        <f>0</f>
        <v>0</v>
      </c>
      <c r="AE37" s="52">
        <f>0</f>
        <v>0</v>
      </c>
      <c r="AF37" s="30">
        <f>0</f>
        <v>0</v>
      </c>
      <c r="AG37" s="30">
        <f>0</f>
        <v>0</v>
      </c>
      <c r="AH37" s="30">
        <f>0</f>
        <v>0</v>
      </c>
      <c r="AI37" s="30">
        <f>0</f>
        <v>0</v>
      </c>
      <c r="AJ37" s="30">
        <f>0</f>
        <v>0</v>
      </c>
      <c r="AK37" s="30">
        <f>0</f>
        <v>0</v>
      </c>
      <c r="AL37" s="30">
        <f>0</f>
        <v>0</v>
      </c>
      <c r="AM37" s="30">
        <f>0</f>
        <v>0</v>
      </c>
      <c r="AN37" s="30">
        <f>0</f>
        <v>0</v>
      </c>
      <c r="AO37" s="30">
        <f>0</f>
        <v>0</v>
      </c>
      <c r="AP37" s="18">
        <f t="shared" si="55"/>
        <v>0</v>
      </c>
      <c r="AQ37" s="10"/>
      <c r="AR37" s="22" t="s">
        <v>128</v>
      </c>
      <c r="AS37" s="22"/>
      <c r="AT37" s="104">
        <v>0.15</v>
      </c>
      <c r="AU37" s="21" t="s">
        <v>129</v>
      </c>
      <c r="AV37" s="105">
        <v>1800</v>
      </c>
      <c r="AW37" s="22" t="s">
        <v>130</v>
      </c>
      <c r="AZ37" s="10"/>
      <c r="BA37" s="10"/>
      <c r="BB37" s="10"/>
    </row>
    <row r="38" spans="1:54" ht="15">
      <c r="A38" s="71" t="s">
        <v>88</v>
      </c>
      <c r="B38" s="71" t="s">
        <v>38</v>
      </c>
      <c r="C38" s="71"/>
      <c r="D38" s="72">
        <f aca="true" t="shared" si="104" ref="D38:O38">D36-D37</f>
        <v>192511.89655172414</v>
      </c>
      <c r="E38" s="73">
        <f t="shared" si="104"/>
        <v>255118.14655172414</v>
      </c>
      <c r="F38" s="74">
        <f t="shared" si="104"/>
        <v>67299.39655172414</v>
      </c>
      <c r="G38" s="74">
        <f t="shared" si="104"/>
        <v>349027.5215517242</v>
      </c>
      <c r="H38" s="74">
        <f t="shared" si="104"/>
        <v>380330.6465517242</v>
      </c>
      <c r="I38" s="74">
        <f t="shared" si="104"/>
        <v>411633.7715517242</v>
      </c>
      <c r="J38" s="74">
        <f t="shared" si="104"/>
        <v>129905.64655172414</v>
      </c>
      <c r="K38" s="74">
        <f t="shared" si="104"/>
        <v>129905.64655172414</v>
      </c>
      <c r="L38" s="74">
        <f t="shared" si="104"/>
        <v>129905.64655172414</v>
      </c>
      <c r="M38" s="74">
        <f t="shared" si="104"/>
        <v>129905.64655172414</v>
      </c>
      <c r="N38" s="74">
        <f t="shared" si="104"/>
        <v>442936.8965517242</v>
      </c>
      <c r="O38" s="74">
        <f t="shared" si="104"/>
        <v>25561.896551724145</v>
      </c>
      <c r="P38" s="64">
        <f t="shared" si="18"/>
        <v>2644042.758620689</v>
      </c>
      <c r="Q38" s="72">
        <f aca="true" t="shared" si="105" ref="Q38:AB38">Q36-Q37</f>
        <v>442936.8965517242</v>
      </c>
      <c r="R38" s="73">
        <f t="shared" si="105"/>
        <v>442936.8965517242</v>
      </c>
      <c r="S38" s="74">
        <f t="shared" si="105"/>
        <v>129905.64655172414</v>
      </c>
      <c r="T38" s="74">
        <f t="shared" si="105"/>
        <v>442936.8965517242</v>
      </c>
      <c r="U38" s="74">
        <f t="shared" si="105"/>
        <v>442936.8965517242</v>
      </c>
      <c r="V38" s="74">
        <f t="shared" si="105"/>
        <v>442936.8965517242</v>
      </c>
      <c r="W38" s="74">
        <f t="shared" si="105"/>
        <v>129905.64655172414</v>
      </c>
      <c r="X38" s="74">
        <f t="shared" si="105"/>
        <v>129905.64655172414</v>
      </c>
      <c r="Y38" s="74">
        <f t="shared" si="105"/>
        <v>129905.64655172414</v>
      </c>
      <c r="Z38" s="74">
        <f t="shared" si="105"/>
        <v>129905.64655172414</v>
      </c>
      <c r="AA38" s="74">
        <f t="shared" si="105"/>
        <v>442936.8965517242</v>
      </c>
      <c r="AB38" s="74">
        <f t="shared" si="105"/>
        <v>25561.896551724145</v>
      </c>
      <c r="AC38" s="64">
        <f t="shared" si="53"/>
        <v>3332711.508620689</v>
      </c>
      <c r="AD38" s="72">
        <f aca="true" t="shared" si="106" ref="AD38:AO38">AD36-AD37</f>
        <v>442936.8965517242</v>
      </c>
      <c r="AE38" s="73">
        <f t="shared" si="106"/>
        <v>442936.8965517242</v>
      </c>
      <c r="AF38" s="74">
        <f t="shared" si="106"/>
        <v>129905.64655172414</v>
      </c>
      <c r="AG38" s="74">
        <f t="shared" si="106"/>
        <v>442936.8965517242</v>
      </c>
      <c r="AH38" s="74">
        <f t="shared" si="106"/>
        <v>442936.8965517242</v>
      </c>
      <c r="AI38" s="74">
        <f t="shared" si="106"/>
        <v>442936.8965517242</v>
      </c>
      <c r="AJ38" s="74">
        <f t="shared" si="106"/>
        <v>129905.64655172414</v>
      </c>
      <c r="AK38" s="74">
        <f t="shared" si="106"/>
        <v>129905.64655172414</v>
      </c>
      <c r="AL38" s="74">
        <f t="shared" si="106"/>
        <v>129905.64655172414</v>
      </c>
      <c r="AM38" s="74">
        <f t="shared" si="106"/>
        <v>129905.64655172414</v>
      </c>
      <c r="AN38" s="74">
        <f t="shared" si="106"/>
        <v>442936.8965517242</v>
      </c>
      <c r="AO38" s="74">
        <f t="shared" si="106"/>
        <v>25561.896551724145</v>
      </c>
      <c r="AP38" s="64">
        <f t="shared" si="55"/>
        <v>3332711.508620689</v>
      </c>
      <c r="AQ38" s="10"/>
      <c r="AZ38" s="10"/>
      <c r="BA38" s="10"/>
      <c r="BB38" s="10"/>
    </row>
    <row r="39" spans="1:81" ht="15">
      <c r="A39" s="6" t="s">
        <v>90</v>
      </c>
      <c r="B39" s="6" t="s">
        <v>32</v>
      </c>
      <c r="C39" s="6"/>
      <c r="D39" s="51">
        <f aca="true" t="shared" si="107" ref="D39:AO39">SUM(D40:D40)</f>
        <v>2427.2999999999997</v>
      </c>
      <c r="E39" s="52">
        <f t="shared" si="107"/>
        <v>2427.2999999999997</v>
      </c>
      <c r="F39" s="30">
        <f t="shared" si="107"/>
        <v>2427.2999999999997</v>
      </c>
      <c r="G39" s="30">
        <f t="shared" si="107"/>
        <v>2427.2999999999997</v>
      </c>
      <c r="H39" s="30">
        <f t="shared" si="107"/>
        <v>2427.2999999999997</v>
      </c>
      <c r="I39" s="30">
        <f t="shared" si="107"/>
        <v>2427.2999999999997</v>
      </c>
      <c r="J39" s="30">
        <f t="shared" si="107"/>
        <v>2427.2999999999997</v>
      </c>
      <c r="K39" s="30">
        <f t="shared" si="107"/>
        <v>2427.2999999999997</v>
      </c>
      <c r="L39" s="30">
        <f t="shared" si="107"/>
        <v>2427.2999999999997</v>
      </c>
      <c r="M39" s="30">
        <f t="shared" si="107"/>
        <v>2427.2999999999997</v>
      </c>
      <c r="N39" s="30">
        <f t="shared" si="107"/>
        <v>2427.2999999999997</v>
      </c>
      <c r="O39" s="30">
        <f t="shared" si="107"/>
        <v>2427.2999999999997</v>
      </c>
      <c r="P39" s="18">
        <f t="shared" si="18"/>
        <v>29127.599999999995</v>
      </c>
      <c r="Q39" s="51">
        <f t="shared" si="107"/>
        <v>2427.2999999999997</v>
      </c>
      <c r="R39" s="52">
        <f t="shared" si="107"/>
        <v>2427.2999999999997</v>
      </c>
      <c r="S39" s="30">
        <f t="shared" si="107"/>
        <v>2427.2999999999997</v>
      </c>
      <c r="T39" s="30">
        <f t="shared" si="107"/>
        <v>2427.2999999999997</v>
      </c>
      <c r="U39" s="30">
        <f t="shared" si="107"/>
        <v>2427.2999999999997</v>
      </c>
      <c r="V39" s="30">
        <f t="shared" si="107"/>
        <v>2427.2999999999997</v>
      </c>
      <c r="W39" s="30">
        <f t="shared" si="107"/>
        <v>2427.2999999999997</v>
      </c>
      <c r="X39" s="30">
        <f t="shared" si="107"/>
        <v>2427.2999999999997</v>
      </c>
      <c r="Y39" s="30">
        <f t="shared" si="107"/>
        <v>2427.2999999999997</v>
      </c>
      <c r="Z39" s="30">
        <f t="shared" si="107"/>
        <v>2427.2999999999997</v>
      </c>
      <c r="AA39" s="30">
        <f t="shared" si="107"/>
        <v>2427.2999999999997</v>
      </c>
      <c r="AB39" s="30">
        <f t="shared" si="107"/>
        <v>2427.2999999999997</v>
      </c>
      <c r="AC39" s="18">
        <f t="shared" si="53"/>
        <v>29127.599999999995</v>
      </c>
      <c r="AD39" s="51">
        <f t="shared" si="107"/>
        <v>2427.2999999999997</v>
      </c>
      <c r="AE39" s="52">
        <f t="shared" si="107"/>
        <v>2427.2999999999997</v>
      </c>
      <c r="AF39" s="30">
        <f t="shared" si="107"/>
        <v>2427.2999999999997</v>
      </c>
      <c r="AG39" s="30">
        <f t="shared" si="107"/>
        <v>2427.2999999999997</v>
      </c>
      <c r="AH39" s="30">
        <f t="shared" si="107"/>
        <v>2427.2999999999997</v>
      </c>
      <c r="AI39" s="30">
        <f t="shared" si="107"/>
        <v>2427.2999999999997</v>
      </c>
      <c r="AJ39" s="30">
        <f t="shared" si="107"/>
        <v>2427.2999999999997</v>
      </c>
      <c r="AK39" s="30">
        <f t="shared" si="107"/>
        <v>2427.2999999999997</v>
      </c>
      <c r="AL39" s="30">
        <f t="shared" si="107"/>
        <v>2427.2999999999997</v>
      </c>
      <c r="AM39" s="30">
        <f t="shared" si="107"/>
        <v>2427.2999999999997</v>
      </c>
      <c r="AN39" s="30">
        <f t="shared" si="107"/>
        <v>2427.2999999999997</v>
      </c>
      <c r="AO39" s="30">
        <f t="shared" si="107"/>
        <v>2427.2999999999997</v>
      </c>
      <c r="AP39" s="18">
        <f t="shared" si="55"/>
        <v>29127.599999999995</v>
      </c>
      <c r="AQ39" s="10"/>
      <c r="AZ39" s="10"/>
      <c r="BA39" s="10"/>
      <c r="BB39" s="10"/>
      <c r="BC39" s="3" t="s">
        <v>106</v>
      </c>
      <c r="BD39" s="56" t="s">
        <v>109</v>
      </c>
      <c r="BX39" s="31"/>
      <c r="BY39" s="2"/>
      <c r="CC39" s="31"/>
    </row>
    <row r="40" spans="1:82" ht="15" customHeight="1">
      <c r="A40" s="6"/>
      <c r="B40" s="1" t="s">
        <v>91</v>
      </c>
      <c r="C40" s="6" t="s">
        <v>125</v>
      </c>
      <c r="D40" s="89">
        <f>IF(($E$19+$E$20)&gt;0.5*$AU$36*$AW$36*$AT$37*$AV$37*$AX$21,0.5*$AU$36*$AW$36*$AT$37*$AV$37*$AX$21,$AU$36*$AW$36*$AT$37*$AV$37*$AX$21-($E$19+$E$20))</f>
        <v>2427.2999999999997</v>
      </c>
      <c r="E40" s="89">
        <f>IF(($E$19+$E$20)&gt;0.5*$AU$36*$AW$36*$AT$37*$AV$37*$AX$21,0.5*$AU$36*$AW$36*$AT$37*$AV$37*$AX$21,$AU$36*$AW$36*$AT$37*$AV$37*$AX$21-($E$19+$E$20))</f>
        <v>2427.2999999999997</v>
      </c>
      <c r="F40" s="89">
        <f aca="true" t="shared" si="108" ref="F40:O40">IF(($E$19+$E$20)&gt;0.5*$AU$36*$AW$36*$AT$37*$AV$37*$AX$21,0.5*$AU$36*$AW$36*$AT$37*$AV$37*$AX$21,$AU$36*$AW$36*$AT$37*$AV$37*$AX$21-($E$19+$E$20))</f>
        <v>2427.2999999999997</v>
      </c>
      <c r="G40" s="89">
        <f t="shared" si="108"/>
        <v>2427.2999999999997</v>
      </c>
      <c r="H40" s="89">
        <f t="shared" si="108"/>
        <v>2427.2999999999997</v>
      </c>
      <c r="I40" s="89">
        <f t="shared" si="108"/>
        <v>2427.2999999999997</v>
      </c>
      <c r="J40" s="89">
        <f t="shared" si="108"/>
        <v>2427.2999999999997</v>
      </c>
      <c r="K40" s="89">
        <f t="shared" si="108"/>
        <v>2427.2999999999997</v>
      </c>
      <c r="L40" s="89">
        <f t="shared" si="108"/>
        <v>2427.2999999999997</v>
      </c>
      <c r="M40" s="89">
        <f t="shared" si="108"/>
        <v>2427.2999999999997</v>
      </c>
      <c r="N40" s="89">
        <f t="shared" si="108"/>
        <v>2427.2999999999997</v>
      </c>
      <c r="O40" s="89">
        <f t="shared" si="108"/>
        <v>2427.2999999999997</v>
      </c>
      <c r="P40" s="18">
        <f t="shared" si="18"/>
        <v>29127.599999999995</v>
      </c>
      <c r="Q40" s="89">
        <f>IF(($E$19+$E$20)&gt;0.5*$AU$36*$AW$36*$AT$37*$AV$37*$AX$21,0.5*$AU$36*$AW$36*$AT$37*$AV$37*$AX$21,$AU$36*$AW$36*$AT$37*$AV$37*$AX$21-($E$19+$E$20))</f>
        <v>2427.2999999999997</v>
      </c>
      <c r="R40" s="89">
        <f>IF(($E$19+$E$20)&gt;0.5*$AU$36*$AW$36*$AT$37*$AV$37*$AX$21,0.5*$AU$36*$AW$36*$AT$37*$AV$37*$AX$21,$AU$36*$AW$36*$AT$37*$AV$37*$AX$21-($E$19+$E$20))</f>
        <v>2427.2999999999997</v>
      </c>
      <c r="S40" s="89">
        <f aca="true" t="shared" si="109" ref="S40:AB40">IF(($E$19+$E$20)&gt;0.5*$AU$36*$AW$36*$AT$37*$AV$37*$AX$21,0.5*$AU$36*$AW$36*$AT$37*$AV$37*$AX$21,$AU$36*$AW$36*$AT$37*$AV$37*$AX$21-($E$19+$E$20))</f>
        <v>2427.2999999999997</v>
      </c>
      <c r="T40" s="89">
        <f t="shared" si="109"/>
        <v>2427.2999999999997</v>
      </c>
      <c r="U40" s="89">
        <f t="shared" si="109"/>
        <v>2427.2999999999997</v>
      </c>
      <c r="V40" s="89">
        <f t="shared" si="109"/>
        <v>2427.2999999999997</v>
      </c>
      <c r="W40" s="89">
        <f t="shared" si="109"/>
        <v>2427.2999999999997</v>
      </c>
      <c r="X40" s="89">
        <f t="shared" si="109"/>
        <v>2427.2999999999997</v>
      </c>
      <c r="Y40" s="89">
        <f t="shared" si="109"/>
        <v>2427.2999999999997</v>
      </c>
      <c r="Z40" s="89">
        <f t="shared" si="109"/>
        <v>2427.2999999999997</v>
      </c>
      <c r="AA40" s="89">
        <f t="shared" si="109"/>
        <v>2427.2999999999997</v>
      </c>
      <c r="AB40" s="89">
        <f t="shared" si="109"/>
        <v>2427.2999999999997</v>
      </c>
      <c r="AC40" s="18">
        <f t="shared" si="53"/>
        <v>29127.599999999995</v>
      </c>
      <c r="AD40" s="89">
        <f>IF(($E$19+$E$20)&gt;0.5*$AU$36*$AW$36*$AT$37*$AV$37*$AX$21,0.5*$AU$36*$AW$36*$AT$37*$AV$37*$AX$21,$AU$36*$AW$36*$AT$37*$AV$37*$AX$21-($E$19+$E$20))</f>
        <v>2427.2999999999997</v>
      </c>
      <c r="AE40" s="89">
        <f>IF(($E$19+$E$20)&gt;0.5*$AU$36*$AW$36*$AT$37*$AV$37*$AX$21,0.5*$AU$36*$AW$36*$AT$37*$AV$37*$AX$21,$AU$36*$AW$36*$AT$37*$AV$37*$AX$21-($E$19+$E$20))</f>
        <v>2427.2999999999997</v>
      </c>
      <c r="AF40" s="89">
        <f aca="true" t="shared" si="110" ref="AF40:AO40">IF(($E$19+$E$20)&gt;0.5*$AU$36*$AW$36*$AT$37*$AV$37*$AX$21,0.5*$AU$36*$AW$36*$AT$37*$AV$37*$AX$21,$AU$36*$AW$36*$AT$37*$AV$37*$AX$21-($E$19+$E$20))</f>
        <v>2427.2999999999997</v>
      </c>
      <c r="AG40" s="89">
        <f t="shared" si="110"/>
        <v>2427.2999999999997</v>
      </c>
      <c r="AH40" s="89">
        <f t="shared" si="110"/>
        <v>2427.2999999999997</v>
      </c>
      <c r="AI40" s="89">
        <f t="shared" si="110"/>
        <v>2427.2999999999997</v>
      </c>
      <c r="AJ40" s="89">
        <f t="shared" si="110"/>
        <v>2427.2999999999997</v>
      </c>
      <c r="AK40" s="89">
        <f t="shared" si="110"/>
        <v>2427.2999999999997</v>
      </c>
      <c r="AL40" s="89">
        <f t="shared" si="110"/>
        <v>2427.2999999999997</v>
      </c>
      <c r="AM40" s="89">
        <f t="shared" si="110"/>
        <v>2427.2999999999997</v>
      </c>
      <c r="AN40" s="89">
        <f t="shared" si="110"/>
        <v>2427.2999999999997</v>
      </c>
      <c r="AO40" s="89">
        <f t="shared" si="110"/>
        <v>2427.2999999999997</v>
      </c>
      <c r="AP40" s="18">
        <f t="shared" si="55"/>
        <v>29127.599999999995</v>
      </c>
      <c r="AQ40" s="10"/>
      <c r="AZ40" s="10"/>
      <c r="BA40" s="10"/>
      <c r="BB40" s="10"/>
      <c r="BX40" s="31"/>
      <c r="BY40" s="31"/>
      <c r="CA40" s="31"/>
      <c r="CB40" s="31"/>
      <c r="CC40" s="31"/>
      <c r="CD40" s="31"/>
    </row>
    <row r="41" spans="1:82" ht="15">
      <c r="A41" s="92" t="s">
        <v>92</v>
      </c>
      <c r="B41" s="92"/>
      <c r="C41" s="92"/>
      <c r="D41" s="99">
        <f aca="true" t="shared" si="111" ref="D41:O41">D38-D39</f>
        <v>190084.59655172416</v>
      </c>
      <c r="E41" s="99">
        <f t="shared" si="111"/>
        <v>252690.84655172416</v>
      </c>
      <c r="F41" s="99">
        <f t="shared" si="111"/>
        <v>64872.09655172414</v>
      </c>
      <c r="G41" s="99">
        <f t="shared" si="111"/>
        <v>346600.2215517242</v>
      </c>
      <c r="H41" s="99">
        <f t="shared" si="111"/>
        <v>377903.3465517242</v>
      </c>
      <c r="I41" s="99">
        <f t="shared" si="111"/>
        <v>409206.4715517242</v>
      </c>
      <c r="J41" s="99">
        <f t="shared" si="111"/>
        <v>127478.34655172414</v>
      </c>
      <c r="K41" s="99">
        <f t="shared" si="111"/>
        <v>127478.34655172414</v>
      </c>
      <c r="L41" s="99">
        <f t="shared" si="111"/>
        <v>127478.34655172414</v>
      </c>
      <c r="M41" s="99">
        <f t="shared" si="111"/>
        <v>127478.34655172414</v>
      </c>
      <c r="N41" s="99">
        <f t="shared" si="111"/>
        <v>440509.5965517242</v>
      </c>
      <c r="O41" s="99">
        <f t="shared" si="111"/>
        <v>23134.596551724146</v>
      </c>
      <c r="P41" s="99">
        <f t="shared" si="18"/>
        <v>2614915.1586206905</v>
      </c>
      <c r="Q41" s="99">
        <f aca="true" t="shared" si="112" ref="Q41:AB41">Q38-Q39</f>
        <v>440509.5965517242</v>
      </c>
      <c r="R41" s="99">
        <f t="shared" si="112"/>
        <v>440509.5965517242</v>
      </c>
      <c r="S41" s="99">
        <f t="shared" si="112"/>
        <v>127478.34655172414</v>
      </c>
      <c r="T41" s="99">
        <f t="shared" si="112"/>
        <v>440509.5965517242</v>
      </c>
      <c r="U41" s="99">
        <f t="shared" si="112"/>
        <v>440509.5965517242</v>
      </c>
      <c r="V41" s="99">
        <f t="shared" si="112"/>
        <v>440509.5965517242</v>
      </c>
      <c r="W41" s="99">
        <f t="shared" si="112"/>
        <v>127478.34655172414</v>
      </c>
      <c r="X41" s="99">
        <f t="shared" si="112"/>
        <v>127478.34655172414</v>
      </c>
      <c r="Y41" s="99">
        <f t="shared" si="112"/>
        <v>127478.34655172414</v>
      </c>
      <c r="Z41" s="99">
        <f t="shared" si="112"/>
        <v>127478.34655172414</v>
      </c>
      <c r="AA41" s="99">
        <f t="shared" si="112"/>
        <v>440509.5965517242</v>
      </c>
      <c r="AB41" s="99">
        <f t="shared" si="112"/>
        <v>23134.596551724146</v>
      </c>
      <c r="AC41" s="99">
        <f t="shared" si="53"/>
        <v>3303583.9086206905</v>
      </c>
      <c r="AD41" s="99">
        <f aca="true" t="shared" si="113" ref="AD41:AO41">AD38-AD39</f>
        <v>440509.5965517242</v>
      </c>
      <c r="AE41" s="99">
        <f t="shared" si="113"/>
        <v>440509.5965517242</v>
      </c>
      <c r="AF41" s="99">
        <f t="shared" si="113"/>
        <v>127478.34655172414</v>
      </c>
      <c r="AG41" s="99">
        <f t="shared" si="113"/>
        <v>440509.5965517242</v>
      </c>
      <c r="AH41" s="99">
        <f t="shared" si="113"/>
        <v>440509.5965517242</v>
      </c>
      <c r="AI41" s="99">
        <f t="shared" si="113"/>
        <v>440509.5965517242</v>
      </c>
      <c r="AJ41" s="99">
        <f t="shared" si="113"/>
        <v>127478.34655172414</v>
      </c>
      <c r="AK41" s="99">
        <f t="shared" si="113"/>
        <v>127478.34655172414</v>
      </c>
      <c r="AL41" s="99">
        <f t="shared" si="113"/>
        <v>127478.34655172414</v>
      </c>
      <c r="AM41" s="99">
        <f t="shared" si="113"/>
        <v>127478.34655172414</v>
      </c>
      <c r="AN41" s="99">
        <f t="shared" si="113"/>
        <v>440509.5965517242</v>
      </c>
      <c r="AO41" s="99">
        <f t="shared" si="113"/>
        <v>23134.596551724146</v>
      </c>
      <c r="AP41" s="99">
        <f t="shared" si="55"/>
        <v>3303583.9086206905</v>
      </c>
      <c r="AQ41" s="10"/>
      <c r="AZ41" s="10"/>
      <c r="BA41" s="10"/>
      <c r="BB41" s="10"/>
      <c r="BX41" s="31"/>
      <c r="BY41" s="31"/>
      <c r="CA41" s="31"/>
      <c r="CB41" s="31"/>
      <c r="CC41" s="31"/>
      <c r="CD41" s="31"/>
    </row>
    <row r="42" spans="4:82" ht="15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10"/>
      <c r="AZ42" s="10"/>
      <c r="BA42" s="10"/>
      <c r="BB42" s="10"/>
      <c r="BX42" s="31"/>
      <c r="BY42" s="31"/>
      <c r="CA42" s="31"/>
      <c r="CB42" s="31"/>
      <c r="CC42" s="31"/>
      <c r="CD42" s="31"/>
    </row>
    <row r="43" spans="1:82" ht="15">
      <c r="A43" s="99"/>
      <c r="B43" s="99" t="s">
        <v>93</v>
      </c>
      <c r="C43" s="99"/>
      <c r="D43" s="99">
        <f>D41</f>
        <v>190084.59655172416</v>
      </c>
      <c r="E43" s="99">
        <f aca="true" t="shared" si="114" ref="E43:N43">D43+E41</f>
        <v>442775.4431034483</v>
      </c>
      <c r="F43" s="99">
        <f t="shared" si="114"/>
        <v>507647.53965517244</v>
      </c>
      <c r="G43" s="99">
        <f t="shared" si="114"/>
        <v>854247.7612068966</v>
      </c>
      <c r="H43" s="99">
        <f t="shared" si="114"/>
        <v>1232151.1077586208</v>
      </c>
      <c r="I43" s="99">
        <f t="shared" si="114"/>
        <v>1641357.579310345</v>
      </c>
      <c r="J43" s="99">
        <f t="shared" si="114"/>
        <v>1768835.9258620692</v>
      </c>
      <c r="K43" s="99">
        <f t="shared" si="114"/>
        <v>1896314.2724137935</v>
      </c>
      <c r="L43" s="99">
        <f t="shared" si="114"/>
        <v>2023792.6189655177</v>
      </c>
      <c r="M43" s="99">
        <f t="shared" si="114"/>
        <v>2151270.965517242</v>
      </c>
      <c r="N43" s="99">
        <f t="shared" si="114"/>
        <v>2591780.562068966</v>
      </c>
      <c r="O43" s="99">
        <f>N43+O41</f>
        <v>2614915.1586206905</v>
      </c>
      <c r="P43" s="99">
        <f>O43</f>
        <v>2614915.1586206905</v>
      </c>
      <c r="Q43" s="99">
        <f aca="true" t="shared" si="115" ref="Q43:AB43">P43+Q41</f>
        <v>3055424.7551724147</v>
      </c>
      <c r="R43" s="99">
        <f t="shared" si="115"/>
        <v>3495934.351724139</v>
      </c>
      <c r="S43" s="99">
        <f t="shared" si="115"/>
        <v>3623412.698275863</v>
      </c>
      <c r="T43" s="99">
        <f t="shared" si="115"/>
        <v>4063922.2948275874</v>
      </c>
      <c r="U43" s="99">
        <f t="shared" si="115"/>
        <v>4504431.891379312</v>
      </c>
      <c r="V43" s="99">
        <f t="shared" si="115"/>
        <v>4944941.487931035</v>
      </c>
      <c r="W43" s="99">
        <f t="shared" si="115"/>
        <v>5072419.834482759</v>
      </c>
      <c r="X43" s="99">
        <f t="shared" si="115"/>
        <v>5199898.181034483</v>
      </c>
      <c r="Y43" s="99">
        <f t="shared" si="115"/>
        <v>5327376.527586207</v>
      </c>
      <c r="Z43" s="99">
        <f t="shared" si="115"/>
        <v>5454854.874137931</v>
      </c>
      <c r="AA43" s="99">
        <f t="shared" si="115"/>
        <v>5895364.470689654</v>
      </c>
      <c r="AB43" s="99">
        <f t="shared" si="115"/>
        <v>5918499.067241378</v>
      </c>
      <c r="AC43" s="99">
        <f>AB43</f>
        <v>5918499.067241378</v>
      </c>
      <c r="AD43" s="99">
        <f aca="true" t="shared" si="116" ref="AD43:AO43">AC43+AD41</f>
        <v>6359008.663793102</v>
      </c>
      <c r="AE43" s="99">
        <f t="shared" si="116"/>
        <v>6799518.260344826</v>
      </c>
      <c r="AF43" s="99">
        <f t="shared" si="116"/>
        <v>6926996.606896549</v>
      </c>
      <c r="AG43" s="99">
        <f t="shared" si="116"/>
        <v>7367506.203448273</v>
      </c>
      <c r="AH43" s="99">
        <f t="shared" si="116"/>
        <v>7808015.799999997</v>
      </c>
      <c r="AI43" s="99">
        <f t="shared" si="116"/>
        <v>8248525.396551721</v>
      </c>
      <c r="AJ43" s="99">
        <f t="shared" si="116"/>
        <v>8376003.743103445</v>
      </c>
      <c r="AK43" s="99">
        <f t="shared" si="116"/>
        <v>8503482.089655168</v>
      </c>
      <c r="AL43" s="99">
        <f t="shared" si="116"/>
        <v>8630960.436206892</v>
      </c>
      <c r="AM43" s="99">
        <f t="shared" si="116"/>
        <v>8758438.782758616</v>
      </c>
      <c r="AN43" s="99">
        <f t="shared" si="116"/>
        <v>9198948.37931034</v>
      </c>
      <c r="AO43" s="99">
        <f t="shared" si="116"/>
        <v>9222082.975862063</v>
      </c>
      <c r="AP43" s="99">
        <f>AO43</f>
        <v>9222082.975862063</v>
      </c>
      <c r="AQ43" s="10"/>
      <c r="BA43" s="10"/>
      <c r="BB43" s="10"/>
      <c r="BX43" s="31"/>
      <c r="BY43" s="31"/>
      <c r="CA43" s="31"/>
      <c r="CB43" s="31"/>
      <c r="CC43" s="31"/>
      <c r="CD43" s="31"/>
    </row>
    <row r="44" spans="2:82" ht="14.25">
      <c r="B44" s="33" t="s">
        <v>94</v>
      </c>
      <c r="D44" s="34">
        <f aca="true" t="shared" si="117" ref="D44:O44">$E$58</f>
        <v>628000</v>
      </c>
      <c r="E44" s="35">
        <f t="shared" si="117"/>
        <v>628000</v>
      </c>
      <c r="F44" s="35">
        <f t="shared" si="117"/>
        <v>628000</v>
      </c>
      <c r="G44" s="35">
        <f t="shared" si="117"/>
        <v>628000</v>
      </c>
      <c r="H44" s="35">
        <f t="shared" si="117"/>
        <v>628000</v>
      </c>
      <c r="I44" s="35">
        <f t="shared" si="117"/>
        <v>628000</v>
      </c>
      <c r="J44" s="35">
        <f t="shared" si="117"/>
        <v>628000</v>
      </c>
      <c r="K44" s="35">
        <f t="shared" si="117"/>
        <v>628000</v>
      </c>
      <c r="L44" s="35">
        <f t="shared" si="117"/>
        <v>628000</v>
      </c>
      <c r="M44" s="35">
        <f t="shared" si="117"/>
        <v>628000</v>
      </c>
      <c r="N44" s="35">
        <f t="shared" si="117"/>
        <v>628000</v>
      </c>
      <c r="O44" s="35">
        <f t="shared" si="117"/>
        <v>628000</v>
      </c>
      <c r="P44" s="36">
        <f>O44</f>
        <v>628000</v>
      </c>
      <c r="Q44" s="35">
        <f aca="true" t="shared" si="118" ref="Q44:AB44">$E$58</f>
        <v>628000</v>
      </c>
      <c r="R44" s="35">
        <f t="shared" si="118"/>
        <v>628000</v>
      </c>
      <c r="S44" s="35">
        <f t="shared" si="118"/>
        <v>628000</v>
      </c>
      <c r="T44" s="35">
        <f t="shared" si="118"/>
        <v>628000</v>
      </c>
      <c r="U44" s="35">
        <f t="shared" si="118"/>
        <v>628000</v>
      </c>
      <c r="V44" s="35">
        <f t="shared" si="118"/>
        <v>628000</v>
      </c>
      <c r="W44" s="35">
        <f t="shared" si="118"/>
        <v>628000</v>
      </c>
      <c r="X44" s="35">
        <f t="shared" si="118"/>
        <v>628000</v>
      </c>
      <c r="Y44" s="35">
        <f t="shared" si="118"/>
        <v>628000</v>
      </c>
      <c r="Z44" s="35">
        <f t="shared" si="118"/>
        <v>628000</v>
      </c>
      <c r="AA44" s="35">
        <f t="shared" si="118"/>
        <v>628000</v>
      </c>
      <c r="AB44" s="35">
        <f t="shared" si="118"/>
        <v>628000</v>
      </c>
      <c r="AC44" s="36">
        <f>AB44</f>
        <v>628000</v>
      </c>
      <c r="AD44" s="35">
        <f aca="true" t="shared" si="119" ref="AD44:AO44">$E$58</f>
        <v>628000</v>
      </c>
      <c r="AE44" s="35">
        <f t="shared" si="119"/>
        <v>628000</v>
      </c>
      <c r="AF44" s="35">
        <f t="shared" si="119"/>
        <v>628000</v>
      </c>
      <c r="AG44" s="35">
        <f t="shared" si="119"/>
        <v>628000</v>
      </c>
      <c r="AH44" s="35">
        <f t="shared" si="119"/>
        <v>628000</v>
      </c>
      <c r="AI44" s="35">
        <f t="shared" si="119"/>
        <v>628000</v>
      </c>
      <c r="AJ44" s="35">
        <f t="shared" si="119"/>
        <v>628000</v>
      </c>
      <c r="AK44" s="35">
        <f t="shared" si="119"/>
        <v>628000</v>
      </c>
      <c r="AL44" s="35">
        <f t="shared" si="119"/>
        <v>628000</v>
      </c>
      <c r="AM44" s="35">
        <f t="shared" si="119"/>
        <v>628000</v>
      </c>
      <c r="AN44" s="35">
        <f t="shared" si="119"/>
        <v>628000</v>
      </c>
      <c r="AO44" s="35">
        <f t="shared" si="119"/>
        <v>628000</v>
      </c>
      <c r="AP44" s="36">
        <f>AO44</f>
        <v>628000</v>
      </c>
      <c r="AQ44" s="10"/>
      <c r="AZ44" s="10"/>
      <c r="BA44" s="10"/>
      <c r="BB44" s="10"/>
      <c r="BY44" s="31"/>
      <c r="BZ44" s="31"/>
      <c r="CA44" s="31"/>
      <c r="CB44" s="31"/>
      <c r="CC44" s="31"/>
      <c r="CD44" s="31"/>
    </row>
    <row r="45" spans="1:52" ht="14.25">
      <c r="A45" s="37"/>
      <c r="D45" s="3">
        <v>1</v>
      </c>
      <c r="E45" s="3">
        <v>2</v>
      </c>
      <c r="F45" s="3">
        <v>3</v>
      </c>
      <c r="G45" s="3">
        <v>4</v>
      </c>
      <c r="H45" s="3">
        <v>5</v>
      </c>
      <c r="I45" s="3">
        <v>6</v>
      </c>
      <c r="J45" s="3">
        <v>7</v>
      </c>
      <c r="K45" s="3">
        <v>8</v>
      </c>
      <c r="L45" s="3">
        <v>9</v>
      </c>
      <c r="M45" s="3">
        <v>10</v>
      </c>
      <c r="N45" s="3">
        <v>11</v>
      </c>
      <c r="O45" s="3">
        <v>12</v>
      </c>
      <c r="P45" s="3" t="s">
        <v>37</v>
      </c>
      <c r="Q45" s="3">
        <f>O45+1</f>
        <v>13</v>
      </c>
      <c r="R45" s="3">
        <f>Q45+1</f>
        <v>14</v>
      </c>
      <c r="S45" s="3">
        <f aca="true" t="shared" si="120" ref="S45:AB45">R45+1</f>
        <v>15</v>
      </c>
      <c r="T45" s="3">
        <f t="shared" si="120"/>
        <v>16</v>
      </c>
      <c r="U45" s="3">
        <f t="shared" si="120"/>
        <v>17</v>
      </c>
      <c r="V45" s="3">
        <f t="shared" si="120"/>
        <v>18</v>
      </c>
      <c r="W45" s="3">
        <f t="shared" si="120"/>
        <v>19</v>
      </c>
      <c r="X45" s="3">
        <f t="shared" si="120"/>
        <v>20</v>
      </c>
      <c r="Y45" s="3">
        <f t="shared" si="120"/>
        <v>21</v>
      </c>
      <c r="Z45" s="3">
        <f t="shared" si="120"/>
        <v>22</v>
      </c>
      <c r="AA45" s="3">
        <f t="shared" si="120"/>
        <v>23</v>
      </c>
      <c r="AB45" s="3">
        <f t="shared" si="120"/>
        <v>24</v>
      </c>
      <c r="AC45" s="3" t="s">
        <v>41</v>
      </c>
      <c r="AD45" s="10">
        <f>AB45+1</f>
        <v>25</v>
      </c>
      <c r="AE45" s="10">
        <f>AD45+1</f>
        <v>26</v>
      </c>
      <c r="AF45" s="10">
        <f aca="true" t="shared" si="121" ref="AF45:AO45">AE45+1</f>
        <v>27</v>
      </c>
      <c r="AG45" s="10">
        <f t="shared" si="121"/>
        <v>28</v>
      </c>
      <c r="AH45" s="10">
        <f t="shared" si="121"/>
        <v>29</v>
      </c>
      <c r="AI45" s="10">
        <f t="shared" si="121"/>
        <v>30</v>
      </c>
      <c r="AJ45" s="10">
        <f t="shared" si="121"/>
        <v>31</v>
      </c>
      <c r="AK45" s="10">
        <f t="shared" si="121"/>
        <v>32</v>
      </c>
      <c r="AL45" s="10">
        <f t="shared" si="121"/>
        <v>33</v>
      </c>
      <c r="AM45" s="10">
        <f t="shared" si="121"/>
        <v>34</v>
      </c>
      <c r="AN45" s="10">
        <f t="shared" si="121"/>
        <v>35</v>
      </c>
      <c r="AO45" s="10">
        <f t="shared" si="121"/>
        <v>36</v>
      </c>
      <c r="AP45" s="10" t="s">
        <v>42</v>
      </c>
      <c r="AQ45" s="10"/>
      <c r="AZ45" s="10"/>
    </row>
    <row r="46" spans="1:43" ht="14.25">
      <c r="A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4.25" collapsed="1">
      <c r="A47" s="99" t="s">
        <v>95</v>
      </c>
      <c r="B47" s="99"/>
      <c r="C47" s="99"/>
      <c r="D47" s="99"/>
      <c r="E47" s="99"/>
      <c r="F47" s="99"/>
      <c r="G47" s="99"/>
      <c r="H47" s="99"/>
      <c r="L47" s="40"/>
      <c r="M47" s="40"/>
      <c r="N47" s="40"/>
      <c r="O47" s="40"/>
      <c r="P47" s="4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4.25">
      <c r="A48" s="75"/>
      <c r="B48" s="76" t="s">
        <v>96</v>
      </c>
      <c r="C48" s="61"/>
      <c r="D48" s="61"/>
      <c r="E48" s="87">
        <f>3800*AX21</f>
        <v>38000</v>
      </c>
      <c r="F48" s="77"/>
      <c r="G48" s="77"/>
      <c r="H48" s="77"/>
      <c r="L48" s="40"/>
      <c r="M48" s="40"/>
      <c r="N48" s="40"/>
      <c r="O48" s="40"/>
      <c r="P48" s="4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4.25">
      <c r="A49" s="75"/>
      <c r="B49" s="76" t="s">
        <v>97</v>
      </c>
      <c r="C49" s="61"/>
      <c r="D49" s="61"/>
      <c r="E49" s="78">
        <f>SUM(E50:E57)</f>
        <v>590000</v>
      </c>
      <c r="F49" s="77"/>
      <c r="G49" s="77"/>
      <c r="H49" s="77"/>
      <c r="L49" s="40"/>
      <c r="M49" s="40"/>
      <c r="N49" s="40"/>
      <c r="O49" s="40"/>
      <c r="P49" s="4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4.25">
      <c r="A50" s="75"/>
      <c r="B50" s="75" t="s">
        <v>135</v>
      </c>
      <c r="C50" s="61"/>
      <c r="D50" s="61"/>
      <c r="E50" s="108">
        <v>20000</v>
      </c>
      <c r="F50" s="77"/>
      <c r="G50" s="77"/>
      <c r="H50" s="77"/>
      <c r="L50" s="40"/>
      <c r="M50" s="40"/>
      <c r="N50" s="40"/>
      <c r="O50" s="40"/>
      <c r="P50" s="4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4.25">
      <c r="A51" s="4"/>
      <c r="B51" s="29" t="s">
        <v>131</v>
      </c>
      <c r="C51" s="29"/>
      <c r="D51" s="29"/>
      <c r="E51" s="42">
        <f>IF(AT4="остров",20000,(IF(AT4="Бутик 20-70 кв.м.",150000,210000)))</f>
        <v>20000</v>
      </c>
      <c r="F51" s="43"/>
      <c r="G51" s="43"/>
      <c r="H51" s="22"/>
      <c r="L51" s="40"/>
      <c r="M51" s="40"/>
      <c r="N51" s="40"/>
      <c r="O51" s="40"/>
      <c r="P51" s="4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51" ht="15.75" customHeight="1" collapsed="1">
      <c r="A52" s="4"/>
      <c r="B52" s="6" t="s">
        <v>98</v>
      </c>
      <c r="C52" s="29"/>
      <c r="D52" s="29"/>
      <c r="E52" s="42">
        <f>AV21*AX21*2</f>
        <v>20000</v>
      </c>
      <c r="F52" s="22"/>
      <c r="G52" s="22"/>
      <c r="H52" s="22"/>
      <c r="L52" s="44"/>
      <c r="M52" s="44"/>
      <c r="N52" s="44"/>
      <c r="O52" s="44"/>
      <c r="P52" s="45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Y52" s="10"/>
    </row>
    <row r="53" spans="1:43" ht="22.5" customHeight="1">
      <c r="A53" s="4"/>
      <c r="B53" s="113" t="s">
        <v>132</v>
      </c>
      <c r="C53" s="113"/>
      <c r="D53" s="6"/>
      <c r="E53" s="90">
        <f>IF(AT4="остров",50000,(IF(AT4="Бутик 20-70 кв.м.",300000,500000)))</f>
        <v>50000</v>
      </c>
      <c r="F53" s="22"/>
      <c r="G53" s="22"/>
      <c r="H53" s="22"/>
      <c r="L53" s="44"/>
      <c r="M53" s="44"/>
      <c r="N53" s="44"/>
      <c r="O53" s="44"/>
      <c r="P53" s="45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4.25">
      <c r="A54" s="4"/>
      <c r="B54" s="54" t="s">
        <v>133</v>
      </c>
      <c r="C54" s="55"/>
      <c r="D54" s="29"/>
      <c r="E54" s="42">
        <v>80000</v>
      </c>
      <c r="F54" s="22"/>
      <c r="G54" s="22"/>
      <c r="H54" s="22"/>
      <c r="L54" s="44"/>
      <c r="M54" s="44"/>
      <c r="N54" s="44"/>
      <c r="O54" s="44"/>
      <c r="P54" s="45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51" ht="24" customHeight="1">
      <c r="A55" s="4"/>
      <c r="B55" s="54" t="s">
        <v>134</v>
      </c>
      <c r="C55" s="55"/>
      <c r="D55" s="29"/>
      <c r="E55" s="42">
        <v>100000</v>
      </c>
      <c r="F55" s="22"/>
      <c r="G55" s="22"/>
      <c r="H55" s="22"/>
      <c r="L55" s="44"/>
      <c r="M55" s="44"/>
      <c r="N55" s="44"/>
      <c r="O55" s="44"/>
      <c r="P55" s="45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Y55" s="10"/>
    </row>
    <row r="56" spans="1:51" ht="21.75" customHeight="1">
      <c r="A56" s="15"/>
      <c r="B56" s="110" t="s">
        <v>110</v>
      </c>
      <c r="C56" s="110"/>
      <c r="D56" s="46"/>
      <c r="E56" s="85">
        <f>IF(AT4="остров",0,(IF(AT4="Бутик 20-70 кв.м.",65000,65000)))</f>
        <v>0</v>
      </c>
      <c r="F56" s="46"/>
      <c r="G56" s="22"/>
      <c r="H56" s="15"/>
      <c r="L56" s="44"/>
      <c r="M56" s="44"/>
      <c r="N56" s="44"/>
      <c r="O56" s="44"/>
      <c r="P56" s="45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Y56" s="10"/>
    </row>
    <row r="57" spans="1:51" ht="20.25" customHeight="1">
      <c r="A57" s="15"/>
      <c r="B57" s="110" t="s">
        <v>117</v>
      </c>
      <c r="C57" s="110"/>
      <c r="D57" s="46"/>
      <c r="E57" s="85">
        <v>300000</v>
      </c>
      <c r="F57" s="46"/>
      <c r="G57" s="22"/>
      <c r="H57" s="15"/>
      <c r="L57" s="44"/>
      <c r="M57" s="44"/>
      <c r="N57" s="44"/>
      <c r="O57" s="44"/>
      <c r="P57" s="45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Y57" s="10"/>
    </row>
    <row r="58" spans="1:54" ht="19.5" customHeight="1">
      <c r="A58" s="66"/>
      <c r="B58" s="71" t="s">
        <v>35</v>
      </c>
      <c r="C58" s="79"/>
      <c r="D58" s="79"/>
      <c r="E58" s="106">
        <f>E49+E48</f>
        <v>628000</v>
      </c>
      <c r="F58" s="80"/>
      <c r="G58" s="80"/>
      <c r="H58" s="80"/>
      <c r="L58" s="38"/>
      <c r="M58" s="38"/>
      <c r="N58" s="38"/>
      <c r="O58" s="38"/>
      <c r="P58" s="3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Y58" s="10"/>
      <c r="BA58" s="10"/>
      <c r="BB58" s="10"/>
    </row>
    <row r="59" spans="1:54" ht="14.25">
      <c r="A59" s="47" t="s">
        <v>43</v>
      </c>
      <c r="B59" s="29"/>
      <c r="C59" s="29"/>
      <c r="D59" s="29"/>
      <c r="E59" s="48">
        <f>P41/E58</f>
        <v>4.163877641115749</v>
      </c>
      <c r="F59" s="29" t="s">
        <v>99</v>
      </c>
      <c r="G59" s="29"/>
      <c r="H59" s="22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10"/>
      <c r="AY59" s="10"/>
      <c r="AZ59" s="10"/>
      <c r="BA59" s="10"/>
      <c r="BB59" s="10"/>
    </row>
    <row r="60" spans="17:54" ht="20.25" customHeight="1"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10"/>
      <c r="AY60" s="10"/>
      <c r="AZ60" s="10"/>
      <c r="BA60" s="10"/>
      <c r="BB60" s="10"/>
    </row>
    <row r="61" spans="17:54" ht="21.75" customHeight="1"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10"/>
      <c r="AY61" s="10"/>
      <c r="AZ61" s="10"/>
      <c r="BA61" s="10"/>
      <c r="BB61" s="10"/>
    </row>
    <row r="62" spans="17:54" ht="21" customHeight="1"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10"/>
      <c r="AY62" s="10"/>
      <c r="AZ62" s="10"/>
      <c r="BA62" s="10"/>
      <c r="BB62" s="10"/>
    </row>
    <row r="63" spans="17:54" ht="26.25" customHeight="1"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Y63" s="10"/>
      <c r="AZ63" s="10"/>
      <c r="BA63" s="10"/>
      <c r="BB63" s="10"/>
    </row>
    <row r="64" spans="17:54" ht="21" customHeight="1"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Z64" s="10"/>
      <c r="BA64" s="10"/>
      <c r="BB64" s="10"/>
    </row>
    <row r="65" spans="17:54" ht="27.75" customHeight="1"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Z65" s="10"/>
      <c r="BA65" s="10"/>
      <c r="BB65" s="10"/>
    </row>
    <row r="66" spans="17:54" ht="14.25"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Z66" s="10"/>
      <c r="BA66" s="10"/>
      <c r="BB66" s="10"/>
    </row>
    <row r="67" spans="17:54" ht="14.25"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Z67" s="10"/>
      <c r="BA67" s="10"/>
      <c r="BB67" s="10"/>
    </row>
    <row r="68" spans="17:54" ht="14.25"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Z68" s="10"/>
      <c r="BA68" s="10"/>
      <c r="BB68" s="10"/>
    </row>
    <row r="69" spans="17:54" ht="14.25"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Z69" s="10"/>
      <c r="BA69" s="10"/>
      <c r="BB69" s="10"/>
    </row>
    <row r="70" spans="17:54" ht="14.25"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Z70" s="10"/>
      <c r="BA70" s="10"/>
      <c r="BB70" s="10"/>
    </row>
    <row r="71" spans="17:54" ht="14.25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Z71" s="10"/>
      <c r="BA71" s="10"/>
      <c r="BB71" s="10"/>
    </row>
    <row r="72" spans="43:54" ht="14.25">
      <c r="AQ72" s="49"/>
      <c r="AZ72" s="10"/>
      <c r="BA72" s="10"/>
      <c r="BB72" s="10"/>
    </row>
    <row r="73" spans="43:54" ht="14.25">
      <c r="AQ73" s="10"/>
      <c r="AZ73" s="10"/>
      <c r="BA73" s="10"/>
      <c r="BB73" s="10"/>
    </row>
    <row r="74" spans="43:54" ht="14.25">
      <c r="AQ74" s="10"/>
      <c r="AZ74" s="10"/>
      <c r="BA74" s="10"/>
      <c r="BB74" s="10"/>
    </row>
    <row r="75" spans="43:54" ht="14.25">
      <c r="AQ75" s="10"/>
      <c r="AZ75" s="10"/>
      <c r="BA75" s="10"/>
      <c r="BB75" s="10"/>
    </row>
    <row r="76" spans="43:54" ht="14.25">
      <c r="AQ76" s="10"/>
      <c r="AZ76" s="10"/>
      <c r="BA76" s="10"/>
      <c r="BB76" s="10"/>
    </row>
    <row r="77" spans="43:54" ht="14.25">
      <c r="AQ77" s="10"/>
      <c r="AZ77" s="10"/>
      <c r="BA77" s="10"/>
      <c r="BB77" s="10"/>
    </row>
    <row r="78" spans="43:54" ht="14.25">
      <c r="AQ78" s="10"/>
      <c r="AZ78" s="10"/>
      <c r="BA78" s="10"/>
      <c r="BB78" s="10"/>
    </row>
    <row r="79" spans="43:54" ht="14.25">
      <c r="AQ79" s="10"/>
      <c r="AZ79" s="10"/>
      <c r="BA79" s="10"/>
      <c r="BB79" s="10"/>
    </row>
    <row r="80" spans="43:54" ht="14.25">
      <c r="AQ80" s="10"/>
      <c r="AZ80" s="10"/>
      <c r="BA80" s="10"/>
      <c r="BB80" s="10"/>
    </row>
    <row r="81" spans="43:54" ht="14.25">
      <c r="AQ81" s="10"/>
      <c r="AZ81" s="10"/>
      <c r="BA81" s="10"/>
      <c r="BB81" s="10"/>
    </row>
    <row r="82" spans="43:54" ht="14.25">
      <c r="AQ82" s="10"/>
      <c r="AZ82" s="10"/>
      <c r="BA82" s="10"/>
      <c r="BB82" s="10"/>
    </row>
    <row r="83" ht="15" customHeight="1">
      <c r="AZ83" s="10"/>
    </row>
  </sheetData>
  <sheetProtection/>
  <mergeCells count="5">
    <mergeCell ref="B57:C57"/>
    <mergeCell ref="B56:C56"/>
    <mergeCell ref="A6:C6"/>
    <mergeCell ref="A36:C36"/>
    <mergeCell ref="B53:C53"/>
  </mergeCells>
  <dataValidations count="1">
    <dataValidation type="list" allowBlank="1" showInputMessage="1" showErrorMessage="1" sqref="AT4">
      <formula1>$CI$3:$CI$5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AlteraSPB-81</dc:creator>
  <cp:keywords/>
  <dc:description/>
  <cp:lastModifiedBy>Дизайнер</cp:lastModifiedBy>
  <cp:lastPrinted>2016-11-25T11:37:22Z</cp:lastPrinted>
  <dcterms:created xsi:type="dcterms:W3CDTF">2016-10-26T15:03:57Z</dcterms:created>
  <dcterms:modified xsi:type="dcterms:W3CDTF">2017-03-27T13:27:17Z</dcterms:modified>
  <cp:category/>
  <cp:version/>
  <cp:contentType/>
  <cp:contentStatus/>
</cp:coreProperties>
</file>