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Подставьте свои значения" sheetId="1" r:id="rId1"/>
    <sheet name="Инвестиции" sheetId="2" r:id="rId2"/>
    <sheet name="Финансовый план на год" sheetId="3" r:id="rId3"/>
  </sheets>
  <calcPr calcId="124519"/>
</workbook>
</file>

<file path=xl/calcChain.xml><?xml version="1.0" encoding="utf-8"?>
<calcChain xmlns="http://schemas.openxmlformats.org/spreadsheetml/2006/main">
  <c r="C10" i="1"/>
  <c r="C3" i="3"/>
  <c r="D3" s="1"/>
  <c r="C71" i="2"/>
  <c r="E71" s="1"/>
  <c r="C11" i="1"/>
  <c r="C12" s="1"/>
  <c r="C17" i="3"/>
  <c r="C6"/>
  <c r="C9"/>
  <c r="C10"/>
  <c r="C12"/>
  <c r="D70" i="2"/>
  <c r="C70"/>
  <c r="E70" s="1"/>
  <c r="E68"/>
  <c r="E66"/>
  <c r="E65"/>
  <c r="E64"/>
  <c r="E63"/>
  <c r="E62"/>
  <c r="E61"/>
  <c r="E60"/>
  <c r="E59"/>
  <c r="E56"/>
  <c r="E55"/>
  <c r="E54"/>
  <c r="E53"/>
  <c r="E52"/>
  <c r="E49"/>
  <c r="E48"/>
  <c r="E47"/>
  <c r="E46"/>
  <c r="E45"/>
  <c r="E44"/>
  <c r="E43"/>
  <c r="E42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3"/>
  <c r="E12"/>
  <c r="E11"/>
  <c r="E10"/>
  <c r="E9"/>
  <c r="E8"/>
  <c r="E7"/>
  <c r="E6"/>
  <c r="E5"/>
  <c r="D17" i="3" l="1"/>
  <c r="D5" s="1"/>
  <c r="E3"/>
  <c r="E72" i="2"/>
  <c r="C13" i="3" s="1"/>
  <c r="O13" s="1"/>
  <c r="C14" l="1"/>
  <c r="D6"/>
  <c r="D10"/>
  <c r="D9"/>
  <c r="E17"/>
  <c r="E5" s="1"/>
  <c r="F3"/>
  <c r="C15"/>
  <c r="E6" l="1"/>
  <c r="E10"/>
  <c r="E9"/>
  <c r="D12"/>
  <c r="F17"/>
  <c r="F5" s="1"/>
  <c r="G3"/>
  <c r="F9" l="1"/>
  <c r="F6"/>
  <c r="F10"/>
  <c r="G17"/>
  <c r="G5" s="1"/>
  <c r="H3"/>
  <c r="D14"/>
  <c r="E12"/>
  <c r="G6" l="1"/>
  <c r="G10"/>
  <c r="G9"/>
  <c r="D15"/>
  <c r="E14"/>
  <c r="H17"/>
  <c r="H5" s="1"/>
  <c r="I3"/>
  <c r="F12"/>
  <c r="H9" l="1"/>
  <c r="H6"/>
  <c r="H10"/>
  <c r="G12"/>
  <c r="I17"/>
  <c r="I5" s="1"/>
  <c r="J3"/>
  <c r="F14"/>
  <c r="E15"/>
  <c r="I6" l="1"/>
  <c r="I10"/>
  <c r="I9"/>
  <c r="G14"/>
  <c r="F15"/>
  <c r="J17"/>
  <c r="J5" s="1"/>
  <c r="K3"/>
  <c r="H12"/>
  <c r="J9" l="1"/>
  <c r="J6"/>
  <c r="J10"/>
  <c r="K5"/>
  <c r="K17"/>
  <c r="L3"/>
  <c r="I12"/>
  <c r="G15"/>
  <c r="H14"/>
  <c r="K6" l="1"/>
  <c r="K10"/>
  <c r="K9"/>
  <c r="I14"/>
  <c r="H15"/>
  <c r="L17"/>
  <c r="L5" s="1"/>
  <c r="M3"/>
  <c r="J12"/>
  <c r="L9" l="1"/>
  <c r="L6"/>
  <c r="L10"/>
  <c r="J14"/>
  <c r="I15"/>
  <c r="K12"/>
  <c r="M17"/>
  <c r="M5" s="1"/>
  <c r="N3"/>
  <c r="N17" s="1"/>
  <c r="M6" l="1"/>
  <c r="M10"/>
  <c r="N5"/>
  <c r="M9"/>
  <c r="L12"/>
  <c r="K14"/>
  <c r="J15"/>
  <c r="L14" l="1"/>
  <c r="K15"/>
  <c r="N9"/>
  <c r="O9" s="1"/>
  <c r="N6"/>
  <c r="N10"/>
  <c r="O10" s="1"/>
  <c r="M12"/>
  <c r="N12" l="1"/>
  <c r="O12" s="1"/>
  <c r="O6"/>
  <c r="M14"/>
  <c r="L15"/>
  <c r="M15" l="1"/>
  <c r="N14"/>
  <c r="O14" l="1"/>
  <c r="N15"/>
  <c r="O15" s="1"/>
  <c r="C13" i="1" s="1"/>
</calcChain>
</file>

<file path=xl/sharedStrings.xml><?xml version="1.0" encoding="utf-8"?>
<sst xmlns="http://schemas.openxmlformats.org/spreadsheetml/2006/main" count="104" uniqueCount="94">
  <si>
    <t>Стоимость аренды 1 кв м</t>
  </si>
  <si>
    <t>Какой требуется ремонт</t>
  </si>
  <si>
    <t>Возможное количество клиентов</t>
  </si>
  <si>
    <t>Возможное количество залов</t>
  </si>
  <si>
    <t>Доходы</t>
  </si>
  <si>
    <t>Количество клиентов</t>
  </si>
  <si>
    <t>Выручка</t>
  </si>
  <si>
    <t>Расходы</t>
  </si>
  <si>
    <t>Переменные расходы</t>
  </si>
  <si>
    <t>Прибыль</t>
  </si>
  <si>
    <t>Итого за год</t>
  </si>
  <si>
    <t>Чистый денежный поток</t>
  </si>
  <si>
    <t>Срок окупаемости</t>
  </si>
  <si>
    <t>Первоначальные инвестиции</t>
  </si>
  <si>
    <t>Наименование</t>
  </si>
  <si>
    <t>Цена</t>
  </si>
  <si>
    <t>Кол-во</t>
  </si>
  <si>
    <t>Стоимость</t>
  </si>
  <si>
    <t>Зона встречи посетителей (ресепшн)</t>
  </si>
  <si>
    <t>Танцевальный зал</t>
  </si>
  <si>
    <t>Компьютер</t>
  </si>
  <si>
    <t>Принтер/МФУ</t>
  </si>
  <si>
    <t>Видеонаблюдение</t>
  </si>
  <si>
    <t>Ремонт помещения</t>
  </si>
  <si>
    <t>Паушальный взнос</t>
  </si>
  <si>
    <t>Численность населения города (тыс. чел.)</t>
  </si>
  <si>
    <t>150-300</t>
  </si>
  <si>
    <t>300-600</t>
  </si>
  <si>
    <t>600-1000</t>
  </si>
  <si>
    <t>более 1000</t>
  </si>
  <si>
    <t>Размер паушального взноса</t>
  </si>
  <si>
    <t>Косметический ремонт</t>
  </si>
  <si>
    <t>Капитальный ремонт</t>
  </si>
  <si>
    <t>Максимальные показатели для вашего города</t>
  </si>
  <si>
    <t>Заполните поля желтого цвета:</t>
  </si>
  <si>
    <t>Численность населения города тыс. чел. (не менее 150 тыс. чел.)</t>
  </si>
  <si>
    <t>*Для Москвы и Санкт-Петербурга условия обсуждаются индивидуально</t>
  </si>
  <si>
    <r>
      <t xml:space="preserve">Постоянные расходы
</t>
    </r>
    <r>
      <rPr>
        <sz val="10"/>
        <color theme="0" tint="-0.499984740745262"/>
        <rFont val="Arial"/>
        <family val="2"/>
        <charset val="204"/>
      </rPr>
      <t>*зависят от количества залов (1 зал вмещает в среднем 150 клиентов)</t>
    </r>
  </si>
  <si>
    <t>Акустическая система</t>
  </si>
  <si>
    <t>Стойки под колонки</t>
  </si>
  <si>
    <t>Хомутация (провода)</t>
  </si>
  <si>
    <t>Микрофон</t>
  </si>
  <si>
    <t>LED светильник 54W,PAR</t>
  </si>
  <si>
    <t>Коврики для занятий из 100% пенополиэтилена толщиной не менее 12 мм</t>
  </si>
  <si>
    <t>Зеркало высотой 180-200 см</t>
  </si>
  <si>
    <t>Часы настенные</t>
  </si>
  <si>
    <t>Телевизор от 42 дюймов (диагональ 106)</t>
  </si>
  <si>
    <t>Крепление для телевизора на стену</t>
  </si>
  <si>
    <t xml:space="preserve">Считыватель USB-HID магнитных карт </t>
  </si>
  <si>
    <t>Баннер-растяжка в фирменном стиле</t>
  </si>
  <si>
    <t>Стойка администратора</t>
  </si>
  <si>
    <t>Стул для администратора</t>
  </si>
  <si>
    <t>Шкаф-тумба для хранения чайных принадлежностей</t>
  </si>
  <si>
    <t xml:space="preserve">Бин-бэги, диванчик для гостей </t>
  </si>
  <si>
    <t>Лампа светодиодная</t>
  </si>
  <si>
    <t>Кулер для воды</t>
  </si>
  <si>
    <t>Столик для гостей</t>
  </si>
  <si>
    <t>Шкаф-тумба для сейфа с замком</t>
  </si>
  <si>
    <t>Вешалка напольная</t>
  </si>
  <si>
    <t>Визитница</t>
  </si>
  <si>
    <t>Монетница</t>
  </si>
  <si>
    <t>Мобильный телефон</t>
  </si>
  <si>
    <t>Ящики для документов с замком</t>
  </si>
  <si>
    <t>Раздевалки</t>
  </si>
  <si>
    <t>Навесные крючки для одежды на стенку</t>
  </si>
  <si>
    <t xml:space="preserve">Скамейка </t>
  </si>
  <si>
    <t>Жалюзи на окна</t>
  </si>
  <si>
    <t xml:space="preserve">Зеркало </t>
  </si>
  <si>
    <t>Коврик для ног под размер раздевалки</t>
  </si>
  <si>
    <t>Фирменные шторы</t>
  </si>
  <si>
    <t>Тренерская</t>
  </si>
  <si>
    <t>Шкафчики для одежды</t>
  </si>
  <si>
    <t xml:space="preserve">Жалюзи на окна </t>
  </si>
  <si>
    <t>Стулья</t>
  </si>
  <si>
    <t>Уборная и душевая</t>
  </si>
  <si>
    <t>Унитаз</t>
  </si>
  <si>
    <t>Раковина</t>
  </si>
  <si>
    <t>Держатель для туалетной бумаги</t>
  </si>
  <si>
    <t>Мусорное ведро 60л</t>
  </si>
  <si>
    <t>Емкость для жидкого мыла</t>
  </si>
  <si>
    <t>Зеркало</t>
  </si>
  <si>
    <t>Душевая</t>
  </si>
  <si>
    <t>Прочие расходы</t>
  </si>
  <si>
    <t>Итого</t>
  </si>
  <si>
    <t>Сейф мебельный</t>
  </si>
  <si>
    <t>Денежный ящик</t>
  </si>
  <si>
    <t>Итого по помещениям</t>
  </si>
  <si>
    <t>Итого инвестиций</t>
  </si>
  <si>
    <t>Площадь помещения (от 100 кв м)</t>
  </si>
  <si>
    <t>Инвестиции на открытие</t>
  </si>
  <si>
    <t>Планируемый месяц открытия</t>
  </si>
  <si>
    <r>
      <t xml:space="preserve">Месяц:
</t>
    </r>
    <r>
      <rPr>
        <sz val="9"/>
        <color theme="0" tint="-0.499984740745262"/>
        <rFont val="Arial"/>
        <family val="2"/>
        <charset val="204"/>
      </rPr>
      <t>*большое значение имеет сезонность</t>
    </r>
  </si>
  <si>
    <t>Среднемесячный показатель выручки (при охвате всего города)</t>
  </si>
  <si>
    <t>Финансовый план на 1-ый год после открытия</t>
  </si>
</sst>
</file>

<file path=xl/styles.xml><?xml version="1.0" encoding="utf-8"?>
<styleSheet xmlns="http://schemas.openxmlformats.org/spreadsheetml/2006/main">
  <numFmts count="2">
    <numFmt numFmtId="164" formatCode="[$-419]mmmm;@"/>
    <numFmt numFmtId="165" formatCode="[$-419]mmmm\ yyyy;@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b/>
      <sz val="14"/>
      <color theme="0"/>
      <name val="Arial"/>
      <family val="2"/>
      <charset val="204"/>
    </font>
    <font>
      <sz val="11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0" tint="-0.4999847407452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00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BCA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 applyProtection="1">
      <alignment vertical="center"/>
      <protection hidden="1"/>
    </xf>
    <xf numFmtId="0" fontId="1" fillId="0" borderId="0" xfId="0" applyFont="1" applyAlignment="1">
      <alignment horizontal="right"/>
    </xf>
    <xf numFmtId="3" fontId="2" fillId="3" borderId="1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vertical="center"/>
      <protection hidden="1"/>
    </xf>
    <xf numFmtId="3" fontId="8" fillId="4" borderId="2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/>
    <xf numFmtId="3" fontId="1" fillId="4" borderId="11" xfId="0" applyNumberFormat="1" applyFont="1" applyFill="1" applyBorder="1" applyAlignment="1">
      <alignment horizontal="left" vertical="center" wrapText="1"/>
    </xf>
    <xf numFmtId="3" fontId="1" fillId="4" borderId="12" xfId="0" applyNumberFormat="1" applyFont="1" applyFill="1" applyBorder="1" applyAlignment="1">
      <alignment horizontal="left" vertical="center" wrapText="1"/>
    </xf>
    <xf numFmtId="3" fontId="1" fillId="4" borderId="10" xfId="0" applyNumberFormat="1" applyFont="1" applyFill="1" applyBorder="1" applyAlignment="1">
      <alignment horizontal="left" vertical="center" wrapText="1"/>
    </xf>
    <xf numFmtId="165" fontId="3" fillId="0" borderId="0" xfId="0" applyNumberFormat="1" applyFont="1"/>
    <xf numFmtId="164" fontId="3" fillId="0" borderId="0" xfId="0" applyNumberFormat="1" applyFont="1"/>
    <xf numFmtId="3" fontId="1" fillId="4" borderId="1" xfId="0" applyNumberFormat="1" applyFont="1" applyFill="1" applyBorder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1" xfId="0" applyNumberFormat="1" applyFont="1" applyFill="1" applyBorder="1" applyAlignment="1" applyProtection="1">
      <protection hidden="1"/>
    </xf>
    <xf numFmtId="3" fontId="1" fillId="0" borderId="1" xfId="0" applyNumberFormat="1" applyFont="1" applyFill="1" applyBorder="1" applyAlignment="1" applyProtection="1">
      <alignment horizontal="right" vertical="center"/>
      <protection hidden="1"/>
    </xf>
    <xf numFmtId="0" fontId="1" fillId="0" borderId="1" xfId="0" applyFont="1" applyFill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3" fontId="1" fillId="4" borderId="11" xfId="0" applyNumberFormat="1" applyFont="1" applyFill="1" applyBorder="1" applyAlignment="1" applyProtection="1">
      <alignment horizontal="left" vertical="center" wrapText="1"/>
      <protection hidden="1"/>
    </xf>
    <xf numFmtId="3" fontId="1" fillId="4" borderId="10" xfId="0" applyNumberFormat="1" applyFont="1" applyFill="1" applyBorder="1" applyAlignment="1" applyProtection="1">
      <alignment horizontal="left" vertical="center" wrapText="1"/>
      <protection hidden="1"/>
    </xf>
    <xf numFmtId="3" fontId="1" fillId="4" borderId="12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" xfId="0" applyFont="1" applyFill="1" applyBorder="1" applyAlignment="1" applyProtection="1">
      <alignment vertical="center" wrapText="1"/>
      <protection hidden="1"/>
    </xf>
    <xf numFmtId="0" fontId="3" fillId="0" borderId="0" xfId="0" applyFont="1" applyProtection="1">
      <protection hidden="1"/>
    </xf>
    <xf numFmtId="164" fontId="1" fillId="4" borderId="1" xfId="0" applyNumberFormat="1" applyFont="1" applyFill="1" applyBorder="1" applyAlignment="1" applyProtection="1">
      <alignment horizontal="center" vertical="center" wrapText="1"/>
      <protection hidden="1"/>
    </xf>
    <xf numFmtId="3" fontId="1" fillId="4" borderId="9" xfId="0" applyNumberFormat="1" applyFont="1" applyFill="1" applyBorder="1" applyAlignment="1" applyProtection="1">
      <alignment vertical="center" wrapText="1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5" fillId="2" borderId="5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BCA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1"/>
  <sheetViews>
    <sheetView showGridLines="0" tabSelected="1" workbookViewId="0">
      <selection activeCell="E6" sqref="E6"/>
    </sheetView>
  </sheetViews>
  <sheetFormatPr defaultRowHeight="14.25"/>
  <cols>
    <col min="1" max="1" width="9.140625" style="1"/>
    <col min="2" max="2" width="45.5703125" style="2" customWidth="1"/>
    <col min="3" max="3" width="29.140625" style="1" bestFit="1" customWidth="1"/>
    <col min="4" max="4" width="9.140625" style="1"/>
    <col min="5" max="5" width="15.85546875" style="4" bestFit="1" customWidth="1"/>
    <col min="6" max="16384" width="9.140625" style="1"/>
  </cols>
  <sheetData>
    <row r="2" spans="2:5" ht="15.75">
      <c r="B2" s="44" t="s">
        <v>34</v>
      </c>
      <c r="C2" s="45"/>
    </row>
    <row r="3" spans="2:5">
      <c r="B3" s="7" t="s">
        <v>88</v>
      </c>
      <c r="C3" s="30">
        <v>100</v>
      </c>
    </row>
    <row r="4" spans="2:5">
      <c r="B4" s="7" t="s">
        <v>0</v>
      </c>
      <c r="C4" s="30">
        <v>350</v>
      </c>
    </row>
    <row r="5" spans="2:5">
      <c r="B5" s="7" t="s">
        <v>1</v>
      </c>
      <c r="C5" s="31" t="s">
        <v>31</v>
      </c>
    </row>
    <row r="6" spans="2:5" ht="28.5">
      <c r="B6" s="7" t="s">
        <v>35</v>
      </c>
      <c r="C6" s="30">
        <v>400</v>
      </c>
      <c r="E6" s="29"/>
    </row>
    <row r="7" spans="2:5">
      <c r="B7" s="7" t="s">
        <v>90</v>
      </c>
      <c r="C7" s="32">
        <v>42979</v>
      </c>
      <c r="E7" s="28">
        <v>42736</v>
      </c>
    </row>
    <row r="8" spans="2:5">
      <c r="B8" s="4" t="s">
        <v>31</v>
      </c>
      <c r="C8" s="4" t="s">
        <v>32</v>
      </c>
      <c r="E8" s="28">
        <v>42767</v>
      </c>
    </row>
    <row r="9" spans="2:5" ht="15.75">
      <c r="B9" s="44" t="s">
        <v>33</v>
      </c>
      <c r="C9" s="45"/>
      <c r="E9" s="28">
        <v>42795</v>
      </c>
    </row>
    <row r="10" spans="2:5">
      <c r="B10" s="3" t="s">
        <v>3</v>
      </c>
      <c r="C10" s="33">
        <f>ROUNDUP(C6/130,0)</f>
        <v>4</v>
      </c>
      <c r="E10" s="28">
        <v>42826</v>
      </c>
    </row>
    <row r="11" spans="2:5">
      <c r="B11" s="3" t="s">
        <v>2</v>
      </c>
      <c r="C11" s="33">
        <f>C10*150</f>
        <v>600</v>
      </c>
      <c r="E11" s="28">
        <v>42856</v>
      </c>
    </row>
    <row r="12" spans="2:5" ht="28.5">
      <c r="B12" s="8" t="s">
        <v>92</v>
      </c>
      <c r="C12" s="34">
        <f>C11*2410*0.79</f>
        <v>1142340</v>
      </c>
      <c r="E12" s="28">
        <v>42887</v>
      </c>
    </row>
    <row r="13" spans="2:5">
      <c r="B13" s="8" t="s">
        <v>12</v>
      </c>
      <c r="C13" s="33">
        <f>'Финансовый план на год'!O15</f>
        <v>6</v>
      </c>
      <c r="E13" s="28">
        <v>42917</v>
      </c>
    </row>
    <row r="14" spans="2:5">
      <c r="E14" s="28">
        <v>42948</v>
      </c>
    </row>
    <row r="15" spans="2:5" ht="15.75">
      <c r="B15" s="44" t="s">
        <v>30</v>
      </c>
      <c r="C15" s="45"/>
      <c r="E15" s="28">
        <v>42979</v>
      </c>
    </row>
    <row r="16" spans="2:5">
      <c r="B16" s="5" t="s">
        <v>25</v>
      </c>
      <c r="C16" s="5" t="s">
        <v>30</v>
      </c>
      <c r="E16" s="28">
        <v>43009</v>
      </c>
    </row>
    <row r="17" spans="2:5">
      <c r="B17" s="6" t="s">
        <v>26</v>
      </c>
      <c r="C17" s="13">
        <v>90000</v>
      </c>
      <c r="E17" s="28">
        <v>43040</v>
      </c>
    </row>
    <row r="18" spans="2:5">
      <c r="B18" s="6" t="s">
        <v>27</v>
      </c>
      <c r="C18" s="13">
        <v>230000</v>
      </c>
      <c r="E18" s="28">
        <v>43070</v>
      </c>
    </row>
    <row r="19" spans="2:5">
      <c r="B19" s="6" t="s">
        <v>28</v>
      </c>
      <c r="C19" s="13">
        <v>350000</v>
      </c>
      <c r="E19" s="28">
        <v>43101</v>
      </c>
    </row>
    <row r="20" spans="2:5">
      <c r="B20" s="6" t="s">
        <v>29</v>
      </c>
      <c r="C20" s="13">
        <v>450000</v>
      </c>
      <c r="E20" s="28">
        <v>43132</v>
      </c>
    </row>
    <row r="21" spans="2:5">
      <c r="B21" s="24" t="s">
        <v>36</v>
      </c>
      <c r="E21" s="28">
        <v>43160</v>
      </c>
    </row>
    <row r="22" spans="2:5">
      <c r="E22" s="28">
        <v>43191</v>
      </c>
    </row>
    <row r="23" spans="2:5">
      <c r="E23" s="28">
        <v>43221</v>
      </c>
    </row>
    <row r="24" spans="2:5">
      <c r="E24" s="28">
        <v>43252</v>
      </c>
    </row>
    <row r="25" spans="2:5">
      <c r="E25" s="28">
        <v>43282</v>
      </c>
    </row>
    <row r="26" spans="2:5">
      <c r="E26" s="28">
        <v>43313</v>
      </c>
    </row>
    <row r="27" spans="2:5">
      <c r="E27" s="28">
        <v>43344</v>
      </c>
    </row>
    <row r="28" spans="2:5">
      <c r="E28" s="28">
        <v>43374</v>
      </c>
    </row>
    <row r="29" spans="2:5">
      <c r="E29" s="28">
        <v>43405</v>
      </c>
    </row>
    <row r="30" spans="2:5">
      <c r="E30" s="28">
        <v>43435</v>
      </c>
    </row>
    <row r="31" spans="2:5">
      <c r="E31" s="29"/>
    </row>
  </sheetData>
  <sheetProtection password="CF66" sheet="1" objects="1" scenarios="1" formatCells="0" formatColumns="0" formatRows="0" insertColumns="0" insertRows="0" insertHyperlinks="0" deleteColumns="0" deleteRows="0" sort="0" autoFilter="0" pivotTables="0"/>
  <mergeCells count="3">
    <mergeCell ref="B2:C2"/>
    <mergeCell ref="B9:C9"/>
    <mergeCell ref="B15:C15"/>
  </mergeCells>
  <dataValidations count="2">
    <dataValidation type="list" allowBlank="1" showInputMessage="1" showErrorMessage="1" sqref="C5">
      <formula1>$B$8:$C$8</formula1>
    </dataValidation>
    <dataValidation type="list" allowBlank="1" showInputMessage="1" showErrorMessage="1" sqref="C7">
      <formula1>$E$7:$E$27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E72"/>
  <sheetViews>
    <sheetView showGridLines="0" topLeftCell="A14" workbookViewId="0">
      <selection activeCell="D39" sqref="D39"/>
    </sheetView>
  </sheetViews>
  <sheetFormatPr defaultRowHeight="14.25"/>
  <cols>
    <col min="1" max="1" width="9.140625" style="1"/>
    <col min="2" max="2" width="54.85546875" style="1" bestFit="1" customWidth="1"/>
    <col min="3" max="4" width="12" style="10" bestFit="1" customWidth="1"/>
    <col min="5" max="5" width="14" style="10" bestFit="1" customWidth="1"/>
    <col min="6" max="16384" width="9.140625" style="1"/>
  </cols>
  <sheetData>
    <row r="2" spans="2:5" ht="18">
      <c r="B2" s="46" t="s">
        <v>89</v>
      </c>
      <c r="C2" s="47"/>
      <c r="D2" s="47"/>
      <c r="E2" s="48"/>
    </row>
    <row r="3" spans="2:5" ht="15">
      <c r="B3" s="21" t="s">
        <v>14</v>
      </c>
      <c r="C3" s="21" t="s">
        <v>15</v>
      </c>
      <c r="D3" s="21" t="s">
        <v>16</v>
      </c>
      <c r="E3" s="21" t="s">
        <v>17</v>
      </c>
    </row>
    <row r="4" spans="2:5" ht="15">
      <c r="B4" s="22" t="s">
        <v>19</v>
      </c>
      <c r="C4" s="23"/>
      <c r="D4" s="23"/>
      <c r="E4" s="23"/>
    </row>
    <row r="5" spans="2:5">
      <c r="B5" s="14" t="s">
        <v>38</v>
      </c>
      <c r="C5" s="15">
        <v>20000</v>
      </c>
      <c r="D5" s="15">
        <v>1</v>
      </c>
      <c r="E5" s="15">
        <f t="shared" ref="E5:E12" si="0">D5*C5</f>
        <v>20000</v>
      </c>
    </row>
    <row r="6" spans="2:5">
      <c r="B6" s="16" t="s">
        <v>39</v>
      </c>
      <c r="C6" s="17">
        <v>3500</v>
      </c>
      <c r="D6" s="17">
        <v>2</v>
      </c>
      <c r="E6" s="15">
        <f t="shared" si="0"/>
        <v>7000</v>
      </c>
    </row>
    <row r="7" spans="2:5">
      <c r="B7" s="16" t="s">
        <v>40</v>
      </c>
      <c r="C7" s="18">
        <v>1000</v>
      </c>
      <c r="D7" s="17">
        <v>1</v>
      </c>
      <c r="E7" s="15">
        <f t="shared" si="0"/>
        <v>1000</v>
      </c>
    </row>
    <row r="8" spans="2:5">
      <c r="B8" s="16" t="s">
        <v>41</v>
      </c>
      <c r="C8" s="18">
        <v>5000</v>
      </c>
      <c r="D8" s="17">
        <v>1</v>
      </c>
      <c r="E8" s="15">
        <f t="shared" si="0"/>
        <v>5000</v>
      </c>
    </row>
    <row r="9" spans="2:5">
      <c r="B9" s="16" t="s">
        <v>42</v>
      </c>
      <c r="C9" s="17">
        <v>2000</v>
      </c>
      <c r="D9" s="18">
        <v>4</v>
      </c>
      <c r="E9" s="15">
        <f t="shared" si="0"/>
        <v>8000</v>
      </c>
    </row>
    <row r="10" spans="2:5" ht="28.5">
      <c r="B10" s="16" t="s">
        <v>43</v>
      </c>
      <c r="C10" s="17">
        <v>300</v>
      </c>
      <c r="D10" s="18">
        <v>20</v>
      </c>
      <c r="E10" s="15">
        <f t="shared" si="0"/>
        <v>6000</v>
      </c>
    </row>
    <row r="11" spans="2:5">
      <c r="B11" s="16" t="s">
        <v>44</v>
      </c>
      <c r="C11" s="17">
        <v>4000</v>
      </c>
      <c r="D11" s="18">
        <v>1</v>
      </c>
      <c r="E11" s="15">
        <f t="shared" si="0"/>
        <v>4000</v>
      </c>
    </row>
    <row r="12" spans="2:5">
      <c r="B12" s="16" t="s">
        <v>45</v>
      </c>
      <c r="C12" s="17">
        <v>1000</v>
      </c>
      <c r="D12" s="17">
        <v>1</v>
      </c>
      <c r="E12" s="15">
        <f t="shared" si="0"/>
        <v>1000</v>
      </c>
    </row>
    <row r="13" spans="2:5" ht="15">
      <c r="B13" s="9" t="s">
        <v>83</v>
      </c>
      <c r="C13" s="11"/>
      <c r="D13" s="11"/>
      <c r="E13" s="11">
        <f>SUM(E5:E12)</f>
        <v>52000</v>
      </c>
    </row>
    <row r="14" spans="2:5">
      <c r="C14" s="12"/>
      <c r="D14" s="12"/>
      <c r="E14" s="12"/>
    </row>
    <row r="15" spans="2:5" ht="15">
      <c r="B15" s="22" t="s">
        <v>18</v>
      </c>
      <c r="C15" s="23"/>
      <c r="D15" s="23"/>
      <c r="E15" s="23"/>
    </row>
    <row r="16" spans="2:5">
      <c r="B16" s="16" t="s">
        <v>22</v>
      </c>
      <c r="C16" s="17">
        <v>15000</v>
      </c>
      <c r="D16" s="17">
        <v>1</v>
      </c>
      <c r="E16" s="15">
        <f t="shared" ref="E16:E38" si="1">D16*C16</f>
        <v>15000</v>
      </c>
    </row>
    <row r="17" spans="2:5">
      <c r="B17" s="16" t="s">
        <v>20</v>
      </c>
      <c r="C17" s="17">
        <v>15000</v>
      </c>
      <c r="D17" s="17">
        <v>1</v>
      </c>
      <c r="E17" s="15">
        <f t="shared" si="1"/>
        <v>15000</v>
      </c>
    </row>
    <row r="18" spans="2:5">
      <c r="B18" s="16" t="s">
        <v>21</v>
      </c>
      <c r="C18" s="17">
        <v>4000</v>
      </c>
      <c r="D18" s="17">
        <v>1</v>
      </c>
      <c r="E18" s="15">
        <f t="shared" si="1"/>
        <v>4000</v>
      </c>
    </row>
    <row r="19" spans="2:5">
      <c r="B19" s="8" t="s">
        <v>46</v>
      </c>
      <c r="C19" s="17">
        <v>20000</v>
      </c>
      <c r="D19" s="17">
        <v>1</v>
      </c>
      <c r="E19" s="15">
        <f t="shared" si="1"/>
        <v>20000</v>
      </c>
    </row>
    <row r="20" spans="2:5">
      <c r="B20" s="8" t="s">
        <v>47</v>
      </c>
      <c r="C20" s="17">
        <v>2000</v>
      </c>
      <c r="D20" s="17">
        <v>1</v>
      </c>
      <c r="E20" s="15">
        <f t="shared" si="1"/>
        <v>2000</v>
      </c>
    </row>
    <row r="21" spans="2:5">
      <c r="B21" s="16" t="s">
        <v>48</v>
      </c>
      <c r="C21" s="17">
        <v>1000</v>
      </c>
      <c r="D21" s="17">
        <v>1</v>
      </c>
      <c r="E21" s="15">
        <f t="shared" si="1"/>
        <v>1000</v>
      </c>
    </row>
    <row r="22" spans="2:5">
      <c r="B22" s="16" t="s">
        <v>84</v>
      </c>
      <c r="C22" s="17">
        <v>3500</v>
      </c>
      <c r="D22" s="17">
        <v>1</v>
      </c>
      <c r="E22" s="15">
        <f t="shared" si="1"/>
        <v>3500</v>
      </c>
    </row>
    <row r="23" spans="2:5">
      <c r="B23" s="16" t="s">
        <v>85</v>
      </c>
      <c r="C23" s="17">
        <v>2300</v>
      </c>
      <c r="D23" s="17">
        <v>1</v>
      </c>
      <c r="E23" s="15">
        <f t="shared" si="1"/>
        <v>2300</v>
      </c>
    </row>
    <row r="24" spans="2:5">
      <c r="B24" s="16" t="s">
        <v>49</v>
      </c>
      <c r="C24" s="17">
        <v>1700</v>
      </c>
      <c r="D24" s="17">
        <v>1</v>
      </c>
      <c r="E24" s="15">
        <f t="shared" si="1"/>
        <v>1700</v>
      </c>
    </row>
    <row r="25" spans="2:5">
      <c r="B25" s="16" t="s">
        <v>50</v>
      </c>
      <c r="C25" s="18">
        <v>22000</v>
      </c>
      <c r="D25" s="17">
        <v>1</v>
      </c>
      <c r="E25" s="15">
        <f t="shared" si="1"/>
        <v>22000</v>
      </c>
    </row>
    <row r="26" spans="2:5">
      <c r="B26" s="16" t="s">
        <v>51</v>
      </c>
      <c r="C26" s="17">
        <v>3500</v>
      </c>
      <c r="D26" s="17">
        <v>1</v>
      </c>
      <c r="E26" s="15">
        <f t="shared" si="1"/>
        <v>3500</v>
      </c>
    </row>
    <row r="27" spans="2:5">
      <c r="B27" s="19" t="s">
        <v>52</v>
      </c>
      <c r="C27" s="17">
        <v>2000</v>
      </c>
      <c r="D27" s="17">
        <v>1</v>
      </c>
      <c r="E27" s="15">
        <f t="shared" si="1"/>
        <v>2000</v>
      </c>
    </row>
    <row r="28" spans="2:5">
      <c r="B28" s="20" t="s">
        <v>53</v>
      </c>
      <c r="C28" s="17">
        <v>7000</v>
      </c>
      <c r="D28" s="17">
        <v>2</v>
      </c>
      <c r="E28" s="15">
        <f t="shared" si="1"/>
        <v>14000</v>
      </c>
    </row>
    <row r="29" spans="2:5">
      <c r="B29" s="19" t="s">
        <v>54</v>
      </c>
      <c r="C29" s="17">
        <v>1000</v>
      </c>
      <c r="D29" s="17">
        <v>1</v>
      </c>
      <c r="E29" s="15">
        <f t="shared" si="1"/>
        <v>1000</v>
      </c>
    </row>
    <row r="30" spans="2:5">
      <c r="B30" s="19" t="s">
        <v>55</v>
      </c>
      <c r="C30" s="17">
        <v>240</v>
      </c>
      <c r="D30" s="17">
        <v>1</v>
      </c>
      <c r="E30" s="15">
        <f t="shared" si="1"/>
        <v>240</v>
      </c>
    </row>
    <row r="31" spans="2:5">
      <c r="B31" s="19" t="s">
        <v>56</v>
      </c>
      <c r="C31" s="17">
        <v>5000</v>
      </c>
      <c r="D31" s="17">
        <v>1</v>
      </c>
      <c r="E31" s="15">
        <f t="shared" si="1"/>
        <v>5000</v>
      </c>
    </row>
    <row r="32" spans="2:5">
      <c r="B32" s="16" t="s">
        <v>45</v>
      </c>
      <c r="C32" s="17">
        <v>1000</v>
      </c>
      <c r="D32" s="17">
        <v>1</v>
      </c>
      <c r="E32" s="15">
        <f t="shared" si="1"/>
        <v>1000</v>
      </c>
    </row>
    <row r="33" spans="2:5">
      <c r="B33" s="16" t="s">
        <v>57</v>
      </c>
      <c r="C33" s="17">
        <v>1000</v>
      </c>
      <c r="D33" s="17">
        <v>1</v>
      </c>
      <c r="E33" s="15">
        <f t="shared" si="1"/>
        <v>1000</v>
      </c>
    </row>
    <row r="34" spans="2:5">
      <c r="B34" s="16" t="s">
        <v>58</v>
      </c>
      <c r="C34" s="17">
        <v>1200</v>
      </c>
      <c r="D34" s="17">
        <v>2</v>
      </c>
      <c r="E34" s="15">
        <f t="shared" si="1"/>
        <v>2400</v>
      </c>
    </row>
    <row r="35" spans="2:5">
      <c r="B35" s="16" t="s">
        <v>59</v>
      </c>
      <c r="C35" s="17">
        <v>150</v>
      </c>
      <c r="D35" s="17">
        <v>1</v>
      </c>
      <c r="E35" s="15">
        <f t="shared" si="1"/>
        <v>150</v>
      </c>
    </row>
    <row r="36" spans="2:5">
      <c r="B36" s="16" t="s">
        <v>60</v>
      </c>
      <c r="C36" s="17">
        <v>100</v>
      </c>
      <c r="D36" s="17">
        <v>1</v>
      </c>
      <c r="E36" s="15">
        <f t="shared" si="1"/>
        <v>100</v>
      </c>
    </row>
    <row r="37" spans="2:5">
      <c r="B37" s="16" t="s">
        <v>61</v>
      </c>
      <c r="C37" s="17">
        <v>3000</v>
      </c>
      <c r="D37" s="17">
        <v>1</v>
      </c>
      <c r="E37" s="15">
        <f t="shared" si="1"/>
        <v>3000</v>
      </c>
    </row>
    <row r="38" spans="2:5">
      <c r="B38" s="20" t="s">
        <v>62</v>
      </c>
      <c r="C38" s="17">
        <v>2000</v>
      </c>
      <c r="D38" s="17">
        <v>1</v>
      </c>
      <c r="E38" s="15">
        <f t="shared" si="1"/>
        <v>2000</v>
      </c>
    </row>
    <row r="39" spans="2:5" ht="15">
      <c r="B39" s="9" t="s">
        <v>83</v>
      </c>
      <c r="C39" s="11"/>
      <c r="D39" s="11"/>
      <c r="E39" s="11">
        <f>SUM(E16:E38)</f>
        <v>121890</v>
      </c>
    </row>
    <row r="40" spans="2:5">
      <c r="C40" s="12"/>
      <c r="D40" s="12"/>
      <c r="E40" s="12"/>
    </row>
    <row r="41" spans="2:5" ht="15">
      <c r="B41" s="22" t="s">
        <v>63</v>
      </c>
      <c r="C41" s="23"/>
      <c r="D41" s="23"/>
      <c r="E41" s="23"/>
    </row>
    <row r="42" spans="2:5">
      <c r="B42" s="16" t="s">
        <v>64</v>
      </c>
      <c r="C42" s="17">
        <v>50</v>
      </c>
      <c r="D42" s="17">
        <v>60</v>
      </c>
      <c r="E42" s="15">
        <f t="shared" ref="E42:E48" si="2">D42*C42</f>
        <v>3000</v>
      </c>
    </row>
    <row r="43" spans="2:5">
      <c r="B43" s="16" t="s">
        <v>65</v>
      </c>
      <c r="C43" s="17">
        <v>3000</v>
      </c>
      <c r="D43" s="18">
        <v>2</v>
      </c>
      <c r="E43" s="15">
        <f t="shared" si="2"/>
        <v>6000</v>
      </c>
    </row>
    <row r="44" spans="2:5">
      <c r="B44" s="16" t="s">
        <v>66</v>
      </c>
      <c r="C44" s="17">
        <v>2000</v>
      </c>
      <c r="D44" s="18">
        <v>2</v>
      </c>
      <c r="E44" s="15">
        <f t="shared" si="2"/>
        <v>4000</v>
      </c>
    </row>
    <row r="45" spans="2:5">
      <c r="B45" s="8" t="s">
        <v>67</v>
      </c>
      <c r="C45" s="17">
        <v>2000</v>
      </c>
      <c r="D45" s="17">
        <v>1</v>
      </c>
      <c r="E45" s="15">
        <f t="shared" si="2"/>
        <v>2000</v>
      </c>
    </row>
    <row r="46" spans="2:5">
      <c r="B46" s="8" t="s">
        <v>68</v>
      </c>
      <c r="C46" s="17">
        <v>1500</v>
      </c>
      <c r="D46" s="17">
        <v>2</v>
      </c>
      <c r="E46" s="15">
        <f t="shared" si="2"/>
        <v>3000</v>
      </c>
    </row>
    <row r="47" spans="2:5">
      <c r="B47" s="16" t="s">
        <v>58</v>
      </c>
      <c r="C47" s="17">
        <v>1200</v>
      </c>
      <c r="D47" s="17">
        <v>2</v>
      </c>
      <c r="E47" s="15">
        <f t="shared" si="2"/>
        <v>2400</v>
      </c>
    </row>
    <row r="48" spans="2:5">
      <c r="B48" s="16" t="s">
        <v>69</v>
      </c>
      <c r="C48" s="17">
        <v>2400</v>
      </c>
      <c r="D48" s="17">
        <v>2</v>
      </c>
      <c r="E48" s="15">
        <f t="shared" si="2"/>
        <v>4800</v>
      </c>
    </row>
    <row r="49" spans="2:5" ht="15">
      <c r="B49" s="9" t="s">
        <v>83</v>
      </c>
      <c r="C49" s="11"/>
      <c r="D49" s="11"/>
      <c r="E49" s="11">
        <f>SUM(E42:E48)</f>
        <v>25200</v>
      </c>
    </row>
    <row r="50" spans="2:5">
      <c r="C50" s="12"/>
      <c r="D50" s="12"/>
      <c r="E50" s="12"/>
    </row>
    <row r="51" spans="2:5" ht="15">
      <c r="B51" s="22" t="s">
        <v>70</v>
      </c>
      <c r="C51" s="23"/>
      <c r="D51" s="23"/>
      <c r="E51" s="23"/>
    </row>
    <row r="52" spans="2:5">
      <c r="B52" s="16" t="s">
        <v>71</v>
      </c>
      <c r="C52" s="17">
        <v>1900</v>
      </c>
      <c r="D52" s="17">
        <v>4</v>
      </c>
      <c r="E52" s="15">
        <f>D52*C52</f>
        <v>7600</v>
      </c>
    </row>
    <row r="53" spans="2:5">
      <c r="B53" s="16" t="s">
        <v>72</v>
      </c>
      <c r="C53" s="17">
        <v>2000</v>
      </c>
      <c r="D53" s="18">
        <v>2</v>
      </c>
      <c r="E53" s="15">
        <f>D53*C53</f>
        <v>4000</v>
      </c>
    </row>
    <row r="54" spans="2:5">
      <c r="B54" s="8" t="s">
        <v>67</v>
      </c>
      <c r="C54" s="17">
        <v>2000</v>
      </c>
      <c r="D54" s="17">
        <v>1</v>
      </c>
      <c r="E54" s="15">
        <f>D54*C54</f>
        <v>2000</v>
      </c>
    </row>
    <row r="55" spans="2:5">
      <c r="B55" s="8" t="s">
        <v>73</v>
      </c>
      <c r="C55" s="17">
        <v>1500</v>
      </c>
      <c r="D55" s="17">
        <v>5</v>
      </c>
      <c r="E55" s="15">
        <f>D55*C55</f>
        <v>7500</v>
      </c>
    </row>
    <row r="56" spans="2:5" ht="15">
      <c r="B56" s="9" t="s">
        <v>83</v>
      </c>
      <c r="C56" s="11"/>
      <c r="D56" s="11"/>
      <c r="E56" s="11">
        <f>SUM(E52:E55)</f>
        <v>21100</v>
      </c>
    </row>
    <row r="57" spans="2:5">
      <c r="C57" s="12"/>
      <c r="D57" s="12"/>
      <c r="E57" s="12"/>
    </row>
    <row r="58" spans="2:5" ht="15">
      <c r="B58" s="22" t="s">
        <v>74</v>
      </c>
      <c r="C58" s="23"/>
      <c r="D58" s="23"/>
      <c r="E58" s="23"/>
    </row>
    <row r="59" spans="2:5">
      <c r="B59" s="16" t="s">
        <v>75</v>
      </c>
      <c r="C59" s="17">
        <v>4000</v>
      </c>
      <c r="D59" s="17">
        <v>1</v>
      </c>
      <c r="E59" s="15">
        <f t="shared" ref="E59:E65" si="3">D59*C59</f>
        <v>4000</v>
      </c>
    </row>
    <row r="60" spans="2:5">
      <c r="B60" s="16" t="s">
        <v>76</v>
      </c>
      <c r="C60" s="17">
        <v>3500</v>
      </c>
      <c r="D60" s="17">
        <v>1</v>
      </c>
      <c r="E60" s="15">
        <f t="shared" si="3"/>
        <v>3500</v>
      </c>
    </row>
    <row r="61" spans="2:5">
      <c r="B61" s="16" t="s">
        <v>77</v>
      </c>
      <c r="C61" s="17">
        <v>400</v>
      </c>
      <c r="D61" s="17">
        <v>1</v>
      </c>
      <c r="E61" s="15">
        <f t="shared" si="3"/>
        <v>400</v>
      </c>
    </row>
    <row r="62" spans="2:5">
      <c r="B62" s="16" t="s">
        <v>78</v>
      </c>
      <c r="C62" s="17">
        <v>100</v>
      </c>
      <c r="D62" s="17">
        <v>1</v>
      </c>
      <c r="E62" s="15">
        <f t="shared" si="3"/>
        <v>100</v>
      </c>
    </row>
    <row r="63" spans="2:5">
      <c r="B63" s="8" t="s">
        <v>79</v>
      </c>
      <c r="C63" s="17">
        <v>200</v>
      </c>
      <c r="D63" s="17">
        <v>1</v>
      </c>
      <c r="E63" s="15">
        <f t="shared" si="3"/>
        <v>200</v>
      </c>
    </row>
    <row r="64" spans="2:5">
      <c r="B64" s="16" t="s">
        <v>80</v>
      </c>
      <c r="C64" s="17">
        <v>1500</v>
      </c>
      <c r="D64" s="17">
        <v>1</v>
      </c>
      <c r="E64" s="15">
        <f t="shared" si="3"/>
        <v>1500</v>
      </c>
    </row>
    <row r="65" spans="2:5">
      <c r="B65" s="16" t="s">
        <v>81</v>
      </c>
      <c r="C65" s="18">
        <v>12000</v>
      </c>
      <c r="D65" s="17">
        <v>1</v>
      </c>
      <c r="E65" s="15">
        <f t="shared" si="3"/>
        <v>12000</v>
      </c>
    </row>
    <row r="66" spans="2:5" ht="15">
      <c r="B66" s="9" t="s">
        <v>83</v>
      </c>
      <c r="C66" s="11"/>
      <c r="D66" s="11"/>
      <c r="E66" s="11">
        <f>SUM(E59:E65)</f>
        <v>21700</v>
      </c>
    </row>
    <row r="67" spans="2:5">
      <c r="C67" s="12"/>
      <c r="D67" s="12"/>
      <c r="E67" s="12"/>
    </row>
    <row r="68" spans="2:5" ht="15">
      <c r="B68" s="9" t="s">
        <v>86</v>
      </c>
      <c r="C68" s="11"/>
      <c r="D68" s="11"/>
      <c r="E68" s="11">
        <f>E13+E39+E49+E56+E66</f>
        <v>241890</v>
      </c>
    </row>
    <row r="69" spans="2:5" ht="15">
      <c r="B69" s="9" t="s">
        <v>82</v>
      </c>
      <c r="C69" s="11"/>
      <c r="D69" s="11"/>
      <c r="E69" s="11">
        <v>39300</v>
      </c>
    </row>
    <row r="70" spans="2:5" ht="15">
      <c r="B70" s="9" t="s">
        <v>23</v>
      </c>
      <c r="C70" s="11">
        <f>IF('Подставьте свои значения'!C5="Косметический ремонт",120,1500)</f>
        <v>120</v>
      </c>
      <c r="D70" s="11">
        <f>'Подставьте свои значения'!C3</f>
        <v>100</v>
      </c>
      <c r="E70" s="11">
        <f>C70*D70</f>
        <v>12000</v>
      </c>
    </row>
    <row r="71" spans="2:5" ht="15">
      <c r="B71" s="9" t="s">
        <v>24</v>
      </c>
      <c r="C71" s="11">
        <f>IF('Подставьте свои значения'!C6&lt;150,"Ошибка",IF('Подставьте свои значения'!C6&lt;300,90000,IF('Подставьте свои значения'!C6&lt;600,230000,IF('Подставьте свои значения'!C6&lt;1000,350000,450000))))</f>
        <v>230000</v>
      </c>
      <c r="D71" s="11">
        <v>1</v>
      </c>
      <c r="E71" s="11">
        <f>C71*D71</f>
        <v>230000</v>
      </c>
    </row>
    <row r="72" spans="2:5" ht="15">
      <c r="B72" s="9" t="s">
        <v>87</v>
      </c>
      <c r="C72" s="11"/>
      <c r="D72" s="11"/>
      <c r="E72" s="11">
        <f>E68+E69+E70+E71</f>
        <v>523190</v>
      </c>
    </row>
  </sheetData>
  <sheetProtection password="CF66" sheet="1" formatCells="0" formatColumns="0" formatRows="0" insertColumns="0" insertRows="0" insertHyperlinks="0" deleteColumns="0" deleteRows="0" sort="0" autoFilter="0" pivotTables="0"/>
  <mergeCells count="1">
    <mergeCell ref="B2:E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1"/>
  <sheetViews>
    <sheetView showGridLines="0" workbookViewId="0">
      <selection activeCell="I19" sqref="I19"/>
    </sheetView>
  </sheetViews>
  <sheetFormatPr defaultRowHeight="14.25"/>
  <cols>
    <col min="1" max="1" width="4.7109375" style="1" customWidth="1"/>
    <col min="2" max="2" width="38" style="1" bestFit="1" customWidth="1"/>
    <col min="3" max="14" width="10.7109375" style="1" customWidth="1"/>
    <col min="15" max="15" width="13.140625" style="1" bestFit="1" customWidth="1"/>
    <col min="16" max="16384" width="9.140625" style="1"/>
  </cols>
  <sheetData>
    <row r="2" spans="2:15" ht="18">
      <c r="B2" s="49" t="s">
        <v>93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2:15" ht="26.25">
      <c r="B3" s="37" t="s">
        <v>91</v>
      </c>
      <c r="C3" s="42">
        <f>'Подставьте свои значения'!C7</f>
        <v>42979</v>
      </c>
      <c r="D3" s="42">
        <f>C3+31</f>
        <v>43010</v>
      </c>
      <c r="E3" s="42">
        <f t="shared" ref="E3:N3" si="0">D3+31</f>
        <v>43041</v>
      </c>
      <c r="F3" s="42">
        <f t="shared" si="0"/>
        <v>43072</v>
      </c>
      <c r="G3" s="42">
        <f t="shared" si="0"/>
        <v>43103</v>
      </c>
      <c r="H3" s="42">
        <f t="shared" si="0"/>
        <v>43134</v>
      </c>
      <c r="I3" s="42">
        <f t="shared" si="0"/>
        <v>43165</v>
      </c>
      <c r="J3" s="42">
        <f t="shared" si="0"/>
        <v>43196</v>
      </c>
      <c r="K3" s="42">
        <f t="shared" si="0"/>
        <v>43227</v>
      </c>
      <c r="L3" s="42">
        <f t="shared" si="0"/>
        <v>43258</v>
      </c>
      <c r="M3" s="42">
        <f t="shared" si="0"/>
        <v>43289</v>
      </c>
      <c r="N3" s="42">
        <f t="shared" si="0"/>
        <v>43320</v>
      </c>
      <c r="O3" s="43" t="s">
        <v>10</v>
      </c>
    </row>
    <row r="4" spans="2:15">
      <c r="B4" s="25" t="s">
        <v>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6"/>
    </row>
    <row r="5" spans="2:15">
      <c r="B5" s="35" t="s">
        <v>5</v>
      </c>
      <c r="C5" s="35">
        <v>20</v>
      </c>
      <c r="D5" s="35">
        <f>ROUND((C5+20)*1.1*IF(D17=6,40%,IF(D17=7,30%,IF(D17=8,8%,IF(D17=1,90%,100%)))),0)</f>
        <v>44</v>
      </c>
      <c r="E5" s="35">
        <f t="shared" ref="E5:N5" si="1">ROUND((D5+20)*1.1*IF(E17=6,40%,IF(E17=7,30%,IF(E17=8,8%,IF(E17=1,90%,100%)))),0)</f>
        <v>70</v>
      </c>
      <c r="F5" s="35">
        <f t="shared" si="1"/>
        <v>99</v>
      </c>
      <c r="G5" s="35">
        <f t="shared" si="1"/>
        <v>118</v>
      </c>
      <c r="H5" s="35">
        <f t="shared" si="1"/>
        <v>152</v>
      </c>
      <c r="I5" s="35">
        <f t="shared" si="1"/>
        <v>189</v>
      </c>
      <c r="J5" s="35">
        <f t="shared" si="1"/>
        <v>230</v>
      </c>
      <c r="K5" s="35">
        <f t="shared" si="1"/>
        <v>275</v>
      </c>
      <c r="L5" s="35">
        <f t="shared" si="1"/>
        <v>130</v>
      </c>
      <c r="M5" s="35">
        <f t="shared" si="1"/>
        <v>50</v>
      </c>
      <c r="N5" s="35">
        <f t="shared" si="1"/>
        <v>6</v>
      </c>
      <c r="O5" s="35"/>
    </row>
    <row r="6" spans="2:15">
      <c r="B6" s="35" t="s">
        <v>6</v>
      </c>
      <c r="C6" s="35">
        <f>C5*2410</f>
        <v>48200</v>
      </c>
      <c r="D6" s="35">
        <f t="shared" ref="D6:N6" si="2">D5*2410</f>
        <v>106040</v>
      </c>
      <c r="E6" s="35">
        <f t="shared" si="2"/>
        <v>168700</v>
      </c>
      <c r="F6" s="35">
        <f t="shared" si="2"/>
        <v>238590</v>
      </c>
      <c r="G6" s="35">
        <f t="shared" si="2"/>
        <v>284380</v>
      </c>
      <c r="H6" s="35">
        <f t="shared" si="2"/>
        <v>366320</v>
      </c>
      <c r="I6" s="35">
        <f t="shared" si="2"/>
        <v>455490</v>
      </c>
      <c r="J6" s="35">
        <f t="shared" si="2"/>
        <v>554300</v>
      </c>
      <c r="K6" s="35">
        <f t="shared" si="2"/>
        <v>662750</v>
      </c>
      <c r="L6" s="35">
        <f t="shared" si="2"/>
        <v>313300</v>
      </c>
      <c r="M6" s="35">
        <f t="shared" si="2"/>
        <v>120500</v>
      </c>
      <c r="N6" s="35">
        <f t="shared" si="2"/>
        <v>14460</v>
      </c>
      <c r="O6" s="35">
        <f>SUM(C6:N6)</f>
        <v>3333030</v>
      </c>
    </row>
    <row r="7" spans="2:15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2:15">
      <c r="B8" s="37" t="s">
        <v>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9"/>
    </row>
    <row r="9" spans="2:15" ht="39.75">
      <c r="B9" s="40" t="s">
        <v>37</v>
      </c>
      <c r="C9" s="35">
        <f>('Подставьте свои значения'!$C$3*'Подставьте свои значения'!$C$4*1.1+4700)*ROUNDUP(C5/150,0)</f>
        <v>43200</v>
      </c>
      <c r="D9" s="35">
        <f>('Подставьте свои значения'!$C$3*'Подставьте свои значения'!$C$4*1.1+4700)*ROUNDUP(D5/150,0)</f>
        <v>43200</v>
      </c>
      <c r="E9" s="35">
        <f>('Подставьте свои значения'!$C$3*'Подставьте свои значения'!$C$4*1.1+4700)*ROUNDUP(E5/150,0)</f>
        <v>43200</v>
      </c>
      <c r="F9" s="35">
        <f>('Подставьте свои значения'!$C$3*'Подставьте свои значения'!$C$4*1.1+4700)*ROUNDUP(F5/150,0)</f>
        <v>43200</v>
      </c>
      <c r="G9" s="35">
        <f>('Подставьте свои значения'!$C$3*'Подставьте свои значения'!$C$4*1.1+4700)*ROUNDUP(G5/150,0)</f>
        <v>43200</v>
      </c>
      <c r="H9" s="35">
        <f>('Подставьте свои значения'!$C$3*'Подставьте свои значения'!$C$4*1.1+4700)*ROUNDUP(H5/150,0)</f>
        <v>86400</v>
      </c>
      <c r="I9" s="35">
        <f>('Подставьте свои значения'!$C$3*'Подставьте свои значения'!$C$4*1.1+4700)*ROUNDUP(I5/150,0)</f>
        <v>86400</v>
      </c>
      <c r="J9" s="35">
        <f>('Подставьте свои значения'!$C$3*'Подставьте свои значения'!$C$4*1.1+4700)*ROUNDUP(J5/150,0)</f>
        <v>86400</v>
      </c>
      <c r="K9" s="35">
        <f>('Подставьте свои значения'!$C$3*'Подставьте свои значения'!$C$4*1.1+4700)*ROUNDUP(K5/150,0)</f>
        <v>86400</v>
      </c>
      <c r="L9" s="35">
        <f>('Подставьте свои значения'!$C$3*'Подставьте свои значения'!$C$4*1.1+4700)*ROUNDUP(L5/150,0)</f>
        <v>43200</v>
      </c>
      <c r="M9" s="35">
        <f>('Подставьте свои значения'!$C$3*'Подставьте свои значения'!$C$4*1.1+4700)*ROUNDUP(M5/150,0)</f>
        <v>43200</v>
      </c>
      <c r="N9" s="35">
        <f>('Подставьте свои значения'!$C$3*'Подставьте свои значения'!$C$4*1.1+4700)*ROUNDUP(N5/150,0)</f>
        <v>43200</v>
      </c>
      <c r="O9" s="35">
        <f>SUM(C9:N9)</f>
        <v>691200</v>
      </c>
    </row>
    <row r="10" spans="2:15">
      <c r="B10" s="35" t="s">
        <v>8</v>
      </c>
      <c r="C10" s="35">
        <f>520*C5</f>
        <v>10400</v>
      </c>
      <c r="D10" s="35">
        <f t="shared" ref="D10:N10" si="3">520*D5</f>
        <v>22880</v>
      </c>
      <c r="E10" s="35">
        <f t="shared" si="3"/>
        <v>36400</v>
      </c>
      <c r="F10" s="35">
        <f t="shared" si="3"/>
        <v>51480</v>
      </c>
      <c r="G10" s="35">
        <f t="shared" si="3"/>
        <v>61360</v>
      </c>
      <c r="H10" s="35">
        <f t="shared" si="3"/>
        <v>79040</v>
      </c>
      <c r="I10" s="35">
        <f t="shared" si="3"/>
        <v>98280</v>
      </c>
      <c r="J10" s="35">
        <f t="shared" si="3"/>
        <v>119600</v>
      </c>
      <c r="K10" s="35">
        <f t="shared" si="3"/>
        <v>143000</v>
      </c>
      <c r="L10" s="35">
        <f t="shared" si="3"/>
        <v>67600</v>
      </c>
      <c r="M10" s="35">
        <f t="shared" si="3"/>
        <v>26000</v>
      </c>
      <c r="N10" s="35">
        <f t="shared" si="3"/>
        <v>3120</v>
      </c>
      <c r="O10" s="35">
        <f>SUM(C10:N10)</f>
        <v>719160</v>
      </c>
    </row>
    <row r="11" spans="2:15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2:15" ht="15">
      <c r="B12" s="9" t="s">
        <v>9</v>
      </c>
      <c r="C12" s="11">
        <f>C6-C9-C10</f>
        <v>-5400</v>
      </c>
      <c r="D12" s="11">
        <f t="shared" ref="D12:N12" si="4">D6-D9-D10</f>
        <v>39960</v>
      </c>
      <c r="E12" s="11">
        <f t="shared" si="4"/>
        <v>89100</v>
      </c>
      <c r="F12" s="9">
        <f t="shared" si="4"/>
        <v>143910</v>
      </c>
      <c r="G12" s="11">
        <f t="shared" si="4"/>
        <v>179820</v>
      </c>
      <c r="H12" s="11">
        <f t="shared" si="4"/>
        <v>200880</v>
      </c>
      <c r="I12" s="11">
        <f t="shared" si="4"/>
        <v>270810</v>
      </c>
      <c r="J12" s="9">
        <f t="shared" si="4"/>
        <v>348300</v>
      </c>
      <c r="K12" s="11">
        <f t="shared" si="4"/>
        <v>433350</v>
      </c>
      <c r="L12" s="11">
        <f t="shared" si="4"/>
        <v>202500</v>
      </c>
      <c r="M12" s="11">
        <f t="shared" si="4"/>
        <v>51300</v>
      </c>
      <c r="N12" s="9">
        <f t="shared" si="4"/>
        <v>-31860</v>
      </c>
      <c r="O12" s="11">
        <f>SUM(C12:N12)</f>
        <v>1922670</v>
      </c>
    </row>
    <row r="13" spans="2:15" ht="15">
      <c r="B13" s="9" t="s">
        <v>13</v>
      </c>
      <c r="C13" s="11">
        <f>Инвестиции!E72</f>
        <v>523190</v>
      </c>
      <c r="D13" s="11"/>
      <c r="E13" s="11"/>
      <c r="F13" s="9"/>
      <c r="G13" s="11"/>
      <c r="H13" s="11"/>
      <c r="I13" s="11"/>
      <c r="J13" s="9"/>
      <c r="K13" s="11"/>
      <c r="L13" s="11"/>
      <c r="M13" s="11"/>
      <c r="N13" s="9"/>
      <c r="O13" s="11">
        <f>SUM(C13:N13)</f>
        <v>523190</v>
      </c>
    </row>
    <row r="14" spans="2:15" ht="15">
      <c r="B14" s="9" t="s">
        <v>11</v>
      </c>
      <c r="C14" s="11">
        <f>C12-$C$13</f>
        <v>-528590</v>
      </c>
      <c r="D14" s="11">
        <f>C14+D12</f>
        <v>-488630</v>
      </c>
      <c r="E14" s="11">
        <f t="shared" ref="E14:N14" si="5">D14+E12</f>
        <v>-399530</v>
      </c>
      <c r="F14" s="9">
        <f t="shared" si="5"/>
        <v>-255620</v>
      </c>
      <c r="G14" s="11">
        <f t="shared" si="5"/>
        <v>-75800</v>
      </c>
      <c r="H14" s="11">
        <f t="shared" si="5"/>
        <v>125080</v>
      </c>
      <c r="I14" s="11">
        <f t="shared" si="5"/>
        <v>395890</v>
      </c>
      <c r="J14" s="9">
        <f t="shared" si="5"/>
        <v>744190</v>
      </c>
      <c r="K14" s="11">
        <f t="shared" si="5"/>
        <v>1177540</v>
      </c>
      <c r="L14" s="11">
        <f t="shared" si="5"/>
        <v>1380040</v>
      </c>
      <c r="M14" s="11">
        <f t="shared" si="5"/>
        <v>1431340</v>
      </c>
      <c r="N14" s="9">
        <f t="shared" si="5"/>
        <v>1399480</v>
      </c>
      <c r="O14" s="11">
        <f>SUM(C14:N14)</f>
        <v>4905390</v>
      </c>
    </row>
    <row r="15" spans="2:15" ht="15">
      <c r="B15" s="9" t="s">
        <v>12</v>
      </c>
      <c r="C15" s="11" t="str">
        <f>IF(C14&lt;0," ",C16)</f>
        <v xml:space="preserve"> </v>
      </c>
      <c r="D15" s="11" t="str">
        <f>IF(D14&lt;0,"",IF(C14&gt;0,"",D16))</f>
        <v/>
      </c>
      <c r="E15" s="11" t="str">
        <f t="shared" ref="E15:G15" si="6">IF(E14&lt;0,"",IF(D14&gt;0,"",E16))</f>
        <v/>
      </c>
      <c r="F15" s="11" t="str">
        <f t="shared" si="6"/>
        <v/>
      </c>
      <c r="G15" s="11" t="str">
        <f t="shared" si="6"/>
        <v/>
      </c>
      <c r="H15" s="11">
        <f>IF(H14&lt;0,"",IF(G14&gt;0,"",H16))</f>
        <v>6</v>
      </c>
      <c r="I15" s="11" t="str">
        <f t="shared" ref="I15:N15" si="7">IF(I14&lt;0,"",IF(H14&gt;0,"",I16))</f>
        <v/>
      </c>
      <c r="J15" s="11" t="str">
        <f t="shared" si="7"/>
        <v/>
      </c>
      <c r="K15" s="11" t="str">
        <f t="shared" si="7"/>
        <v/>
      </c>
      <c r="L15" s="11" t="str">
        <f t="shared" si="7"/>
        <v/>
      </c>
      <c r="M15" s="11" t="str">
        <f t="shared" si="7"/>
        <v/>
      </c>
      <c r="N15" s="11" t="str">
        <f t="shared" si="7"/>
        <v/>
      </c>
      <c r="O15" s="11">
        <f>SUM(C15:N15)</f>
        <v>6</v>
      </c>
    </row>
    <row r="16" spans="2:15">
      <c r="B16" s="36"/>
      <c r="C16" s="41">
        <v>1</v>
      </c>
      <c r="D16" s="41">
        <v>2</v>
      </c>
      <c r="E16" s="41">
        <v>3</v>
      </c>
      <c r="F16" s="41">
        <v>4</v>
      </c>
      <c r="G16" s="41">
        <v>5</v>
      </c>
      <c r="H16" s="41">
        <v>6</v>
      </c>
      <c r="I16" s="41">
        <v>7</v>
      </c>
      <c r="J16" s="41">
        <v>8</v>
      </c>
      <c r="K16" s="41">
        <v>9</v>
      </c>
      <c r="L16" s="41">
        <v>10</v>
      </c>
      <c r="M16" s="41">
        <v>11</v>
      </c>
      <c r="N16" s="41">
        <v>12</v>
      </c>
      <c r="O16" s="36"/>
    </row>
    <row r="17" spans="2:15">
      <c r="B17" s="36"/>
      <c r="C17" s="41">
        <f>MONTH(C3)</f>
        <v>9</v>
      </c>
      <c r="D17" s="41">
        <f t="shared" ref="D17:N17" si="8">MONTH(D3)</f>
        <v>10</v>
      </c>
      <c r="E17" s="41">
        <f t="shared" si="8"/>
        <v>11</v>
      </c>
      <c r="F17" s="41">
        <f t="shared" si="8"/>
        <v>12</v>
      </c>
      <c r="G17" s="41">
        <f t="shared" si="8"/>
        <v>1</v>
      </c>
      <c r="H17" s="41">
        <f t="shared" si="8"/>
        <v>2</v>
      </c>
      <c r="I17" s="41">
        <f t="shared" si="8"/>
        <v>3</v>
      </c>
      <c r="J17" s="41">
        <f t="shared" si="8"/>
        <v>4</v>
      </c>
      <c r="K17" s="41">
        <f t="shared" si="8"/>
        <v>5</v>
      </c>
      <c r="L17" s="41">
        <f t="shared" si="8"/>
        <v>6</v>
      </c>
      <c r="M17" s="41">
        <f t="shared" si="8"/>
        <v>7</v>
      </c>
      <c r="N17" s="41">
        <f t="shared" si="8"/>
        <v>8</v>
      </c>
      <c r="O17" s="36"/>
    </row>
    <row r="18" spans="2:15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2:15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2:1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2:15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</sheetData>
  <sheetProtection password="CF66" sheet="1" formatCells="0" formatColumns="0" formatRows="0" insertColumns="0" insertRows="0" insertHyperlinks="0" deleteColumns="0" deleteRows="0" sort="0" autoFilter="0" pivotTables="0"/>
  <mergeCells count="1">
    <mergeCell ref="B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Подставьте свои значения</vt:lpstr>
      <vt:lpstr>Инвестиции</vt:lpstr>
      <vt:lpstr>Финансовый план на год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2017-01-09T22:43:28Z</dcterms:created>
  <dcterms:modified xsi:type="dcterms:W3CDTF">2017-03-17T10:27:44Z</dcterms:modified>
</cp:coreProperties>
</file>