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 tabRatio="741"/>
  </bookViews>
  <sheets>
    <sheet name="Входящие данные" sheetId="1" r:id="rId1"/>
    <sheet name="Инвестиции на орг-цию бизнеса" sheetId="5" r:id="rId2"/>
    <sheet name="Ежемесячные затраты" sheetId="6" r:id="rId3"/>
    <sheet name="Продажи" sheetId="3" r:id="rId4"/>
    <sheet name="Прибыль_окупаемость" sheetId="4" r:id="rId5"/>
    <sheet name="Арендные ставки " sheetId="7" r:id="rId6"/>
  </sheets>
  <calcPr calcId="145621"/>
</workbook>
</file>

<file path=xl/calcChain.xml><?xml version="1.0" encoding="utf-8"?>
<calcChain xmlns="http://schemas.openxmlformats.org/spreadsheetml/2006/main">
  <c r="F17" i="4" l="1"/>
  <c r="E17" i="4"/>
  <c r="D17" i="4"/>
  <c r="F18" i="6"/>
  <c r="H33" i="3"/>
  <c r="R27" i="3"/>
  <c r="Q17" i="4" s="1"/>
  <c r="S27" i="3"/>
  <c r="R17" i="4" s="1"/>
  <c r="T27" i="3"/>
  <c r="S17" i="4" s="1"/>
  <c r="U27" i="3"/>
  <c r="T17" i="4" s="1"/>
  <c r="V27" i="3"/>
  <c r="U17" i="4" s="1"/>
  <c r="W27" i="3"/>
  <c r="V17" i="4" s="1"/>
  <c r="X27" i="3"/>
  <c r="W17" i="4" s="1"/>
  <c r="Y27" i="3"/>
  <c r="X17" i="4" s="1"/>
  <c r="Z27" i="3"/>
  <c r="Y17" i="4" s="1"/>
  <c r="AA27" i="3"/>
  <c r="Z17" i="4" s="1"/>
  <c r="AB27" i="3"/>
  <c r="AA17" i="4" s="1"/>
  <c r="N27" i="3"/>
  <c r="O27" i="3"/>
  <c r="P27" i="3"/>
  <c r="Q27" i="3"/>
  <c r="I27" i="3"/>
  <c r="H17" i="4" s="1"/>
  <c r="J27" i="3"/>
  <c r="I17" i="4" s="1"/>
  <c r="K27" i="3"/>
  <c r="J17" i="4" s="1"/>
  <c r="L27" i="3"/>
  <c r="K17" i="4" s="1"/>
  <c r="M27" i="3"/>
  <c r="L17" i="4" s="1"/>
  <c r="H27" i="3"/>
  <c r="O17" i="4" l="1"/>
  <c r="M17" i="4"/>
  <c r="G17" i="4"/>
  <c r="P17" i="4"/>
  <c r="N17" i="4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E46" i="3"/>
  <c r="M40" i="3"/>
  <c r="M41" i="3" s="1"/>
  <c r="N40" i="3"/>
  <c r="N41" i="3" s="1"/>
  <c r="O40" i="3"/>
  <c r="O41" i="3" s="1"/>
  <c r="P40" i="3"/>
  <c r="P41" i="3" s="1"/>
  <c r="Q40" i="3"/>
  <c r="Q41" i="3" s="1"/>
  <c r="R40" i="3"/>
  <c r="R41" i="3" s="1"/>
  <c r="S40" i="3"/>
  <c r="S41" i="3" s="1"/>
  <c r="T40" i="3"/>
  <c r="T41" i="3" s="1"/>
  <c r="U40" i="3"/>
  <c r="U41" i="3" s="1"/>
  <c r="V40" i="3"/>
  <c r="V41" i="3" s="1"/>
  <c r="W40" i="3"/>
  <c r="W41" i="3" s="1"/>
  <c r="X40" i="3"/>
  <c r="X41" i="3" s="1"/>
  <c r="Y40" i="3"/>
  <c r="Y41" i="3" s="1"/>
  <c r="Z40" i="3"/>
  <c r="Z41" i="3" s="1"/>
  <c r="AA40" i="3"/>
  <c r="AA41" i="3" s="1"/>
  <c r="AB40" i="3"/>
  <c r="AB41" i="3" s="1"/>
  <c r="I40" i="3"/>
  <c r="I41" i="3" s="1"/>
  <c r="J40" i="3"/>
  <c r="J41" i="3" s="1"/>
  <c r="K40" i="3"/>
  <c r="K41" i="3" s="1"/>
  <c r="L40" i="3"/>
  <c r="L41" i="3" s="1"/>
  <c r="H40" i="3"/>
  <c r="H41" i="3" s="1"/>
  <c r="G40" i="3"/>
  <c r="F40" i="3"/>
  <c r="E40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H34" i="3"/>
  <c r="G34" i="3"/>
  <c r="G35" i="3" s="1"/>
  <c r="E28" i="3"/>
  <c r="F28" i="3" s="1"/>
  <c r="E15" i="7"/>
  <c r="F14" i="4" l="1"/>
  <c r="E41" i="3"/>
  <c r="D14" i="4" s="1"/>
  <c r="E49" i="3"/>
  <c r="D15" i="4" s="1"/>
  <c r="D19" i="4" s="1"/>
  <c r="F41" i="3"/>
  <c r="E14" i="4" s="1"/>
  <c r="F49" i="3"/>
  <c r="E15" i="4" s="1"/>
  <c r="E19" i="4" s="1"/>
  <c r="G41" i="3"/>
  <c r="G49" i="3"/>
  <c r="F15" i="4" s="1"/>
  <c r="F19" i="4" s="1"/>
  <c r="AB35" i="3"/>
  <c r="AA14" i="4" s="1"/>
  <c r="Z35" i="3"/>
  <c r="Y14" i="4" s="1"/>
  <c r="X35" i="3"/>
  <c r="W14" i="4" s="1"/>
  <c r="T35" i="3"/>
  <c r="S14" i="4" s="1"/>
  <c r="R35" i="3"/>
  <c r="Q14" i="4" s="1"/>
  <c r="P35" i="3"/>
  <c r="O14" i="4" s="1"/>
  <c r="N35" i="3"/>
  <c r="M14" i="4" s="1"/>
  <c r="L35" i="3"/>
  <c r="K14" i="4" s="1"/>
  <c r="J35" i="3"/>
  <c r="I14" i="4" s="1"/>
  <c r="AA35" i="3"/>
  <c r="Z14" i="4" s="1"/>
  <c r="Y35" i="3"/>
  <c r="X14" i="4" s="1"/>
  <c r="W35" i="3"/>
  <c r="V14" i="4" s="1"/>
  <c r="U35" i="3"/>
  <c r="T14" i="4" s="1"/>
  <c r="S35" i="3"/>
  <c r="R14" i="4" s="1"/>
  <c r="Q35" i="3"/>
  <c r="P14" i="4" s="1"/>
  <c r="O35" i="3"/>
  <c r="N14" i="4" s="1"/>
  <c r="M35" i="3"/>
  <c r="L14" i="4" s="1"/>
  <c r="K35" i="3"/>
  <c r="J14" i="4" s="1"/>
  <c r="I35" i="3"/>
  <c r="I49" i="3" s="1"/>
  <c r="H15" i="4" s="1"/>
  <c r="H19" i="4" s="1"/>
  <c r="V35" i="3"/>
  <c r="U14" i="4" s="1"/>
  <c r="H35" i="3"/>
  <c r="H49" i="3" s="1"/>
  <c r="G15" i="4" s="1"/>
  <c r="G19" i="4" s="1"/>
  <c r="G14" i="4"/>
  <c r="H14" i="4"/>
  <c r="E29" i="3"/>
  <c r="F29" i="3"/>
  <c r="G28" i="3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V49" i="3" l="1"/>
  <c r="U15" i="4" s="1"/>
  <c r="U19" i="4" s="1"/>
  <c r="K49" i="3"/>
  <c r="J15" i="4" s="1"/>
  <c r="J19" i="4" s="1"/>
  <c r="M49" i="3"/>
  <c r="L15" i="4" s="1"/>
  <c r="L19" i="4" s="1"/>
  <c r="O49" i="3"/>
  <c r="N15" i="4" s="1"/>
  <c r="N19" i="4" s="1"/>
  <c r="Q49" i="3"/>
  <c r="P15" i="4" s="1"/>
  <c r="P19" i="4" s="1"/>
  <c r="S49" i="3"/>
  <c r="R15" i="4" s="1"/>
  <c r="R19" i="4" s="1"/>
  <c r="U49" i="3"/>
  <c r="T15" i="4" s="1"/>
  <c r="T19" i="4" s="1"/>
  <c r="W49" i="3"/>
  <c r="V15" i="4" s="1"/>
  <c r="V19" i="4" s="1"/>
  <c r="Y49" i="3"/>
  <c r="X15" i="4" s="1"/>
  <c r="X19" i="4" s="1"/>
  <c r="AA49" i="3"/>
  <c r="Z15" i="4" s="1"/>
  <c r="Z19" i="4" s="1"/>
  <c r="J49" i="3"/>
  <c r="I15" i="4" s="1"/>
  <c r="I19" i="4" s="1"/>
  <c r="L49" i="3"/>
  <c r="K15" i="4" s="1"/>
  <c r="K19" i="4" s="1"/>
  <c r="N49" i="3"/>
  <c r="M15" i="4" s="1"/>
  <c r="M19" i="4" s="1"/>
  <c r="P49" i="3"/>
  <c r="O15" i="4" s="1"/>
  <c r="O19" i="4" s="1"/>
  <c r="R49" i="3"/>
  <c r="Q15" i="4" s="1"/>
  <c r="Q19" i="4" s="1"/>
  <c r="T49" i="3"/>
  <c r="S15" i="4" s="1"/>
  <c r="S19" i="4" s="1"/>
  <c r="X49" i="3"/>
  <c r="W15" i="4" s="1"/>
  <c r="W19" i="4" s="1"/>
  <c r="Z49" i="3"/>
  <c r="Y15" i="4" s="1"/>
  <c r="Y19" i="4" s="1"/>
  <c r="AB49" i="3"/>
  <c r="AA15" i="4" s="1"/>
  <c r="AA19" i="4" s="1"/>
  <c r="E48" i="3"/>
  <c r="D13" i="4" s="1"/>
  <c r="D21" i="4"/>
  <c r="F48" i="3"/>
  <c r="E13" i="4" s="1"/>
  <c r="E21" i="4"/>
  <c r="I29" i="3"/>
  <c r="H29" i="3"/>
  <c r="G29" i="3"/>
  <c r="J29" i="3"/>
  <c r="D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4" i="7"/>
  <c r="E13" i="7"/>
  <c r="E12" i="7"/>
  <c r="G48" i="3" l="1"/>
  <c r="F13" i="4" s="1"/>
  <c r="F21" i="4"/>
  <c r="I48" i="3"/>
  <c r="H13" i="4" s="1"/>
  <c r="H21" i="4"/>
  <c r="J48" i="3"/>
  <c r="I13" i="4" s="1"/>
  <c r="I21" i="4"/>
  <c r="H48" i="3"/>
  <c r="G13" i="4" s="1"/>
  <c r="G21" i="4"/>
  <c r="K29" i="3"/>
  <c r="E62" i="7"/>
  <c r="E12" i="1" s="1"/>
  <c r="F12" i="6" s="1"/>
  <c r="F16" i="5"/>
  <c r="K48" i="3" l="1"/>
  <c r="J13" i="4" s="1"/>
  <c r="J21" i="4"/>
  <c r="L29" i="3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D20" i="4"/>
  <c r="L48" i="3" l="1"/>
  <c r="K13" i="4" s="1"/>
  <c r="K21" i="4"/>
  <c r="M29" i="3"/>
  <c r="F14" i="6"/>
  <c r="M48" i="3" l="1"/>
  <c r="L13" i="4" s="1"/>
  <c r="L21" i="4"/>
  <c r="N29" i="3"/>
  <c r="N48" i="3" l="1"/>
  <c r="M13" i="4" s="1"/>
  <c r="M21" i="4"/>
  <c r="O29" i="3"/>
  <c r="O48" i="3" l="1"/>
  <c r="N13" i="4" s="1"/>
  <c r="N21" i="4"/>
  <c r="P29" i="3"/>
  <c r="P48" i="3" l="1"/>
  <c r="O13" i="4" s="1"/>
  <c r="O21" i="4"/>
  <c r="Q29" i="3"/>
  <c r="F15" i="6"/>
  <c r="F20" i="6" l="1"/>
  <c r="Q48" i="3"/>
  <c r="P13" i="4" s="1"/>
  <c r="P21" i="4"/>
  <c r="R29" i="3"/>
  <c r="R48" i="3" l="1"/>
  <c r="Q13" i="4" s="1"/>
  <c r="Q21" i="4"/>
  <c r="S29" i="3"/>
  <c r="F18" i="4"/>
  <c r="H18" i="4"/>
  <c r="J18" i="4"/>
  <c r="L18" i="4"/>
  <c r="N18" i="4"/>
  <c r="P18" i="4"/>
  <c r="R18" i="4"/>
  <c r="T18" i="4"/>
  <c r="V18" i="4"/>
  <c r="X18" i="4"/>
  <c r="Z18" i="4"/>
  <c r="D18" i="4"/>
  <c r="E18" i="4"/>
  <c r="G18" i="4"/>
  <c r="I18" i="4"/>
  <c r="K18" i="4"/>
  <c r="M18" i="4"/>
  <c r="O18" i="4"/>
  <c r="Q18" i="4"/>
  <c r="S18" i="4"/>
  <c r="U18" i="4"/>
  <c r="W18" i="4"/>
  <c r="Y18" i="4"/>
  <c r="AA18" i="4"/>
  <c r="D22" i="4"/>
  <c r="Q16" i="4" l="1"/>
  <c r="Q23" i="4" s="1"/>
  <c r="S48" i="3"/>
  <c r="R13" i="4" s="1"/>
  <c r="R21" i="4"/>
  <c r="T29" i="3"/>
  <c r="E16" i="4"/>
  <c r="E23" i="4" s="1"/>
  <c r="F16" i="4"/>
  <c r="F23" i="4" s="1"/>
  <c r="G16" i="4"/>
  <c r="G23" i="4" s="1"/>
  <c r="N16" i="4"/>
  <c r="N23" i="4" s="1"/>
  <c r="K16" i="4"/>
  <c r="K23" i="4" s="1"/>
  <c r="J16" i="4"/>
  <c r="J23" i="4" s="1"/>
  <c r="I16" i="4"/>
  <c r="I23" i="4" s="1"/>
  <c r="L16" i="4"/>
  <c r="L23" i="4" s="1"/>
  <c r="H16" i="4"/>
  <c r="H23" i="4" s="1"/>
  <c r="O16" i="4"/>
  <c r="O23" i="4" s="1"/>
  <c r="M16" i="4"/>
  <c r="M23" i="4" s="1"/>
  <c r="P16" i="4"/>
  <c r="P23" i="4" s="1"/>
  <c r="D16" i="4"/>
  <c r="D23" i="4" s="1"/>
  <c r="R16" i="4" l="1"/>
  <c r="R23" i="4" s="1"/>
  <c r="T48" i="3"/>
  <c r="S13" i="4" s="1"/>
  <c r="S21" i="4"/>
  <c r="U29" i="3"/>
  <c r="D24" i="4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U48" i="3" l="1"/>
  <c r="T13" i="4" s="1"/>
  <c r="T21" i="4"/>
  <c r="R24" i="4"/>
  <c r="S16" i="4"/>
  <c r="S23" i="4" s="1"/>
  <c r="V29" i="3"/>
  <c r="D25" i="4"/>
  <c r="D26" i="4" s="1"/>
  <c r="T16" i="4" l="1"/>
  <c r="T23" i="4" s="1"/>
  <c r="V48" i="3"/>
  <c r="U13" i="4" s="1"/>
  <c r="U21" i="4"/>
  <c r="S24" i="4"/>
  <c r="W29" i="3"/>
  <c r="E25" i="4"/>
  <c r="E26" i="4" s="1"/>
  <c r="U16" i="4" l="1"/>
  <c r="U23" i="4" s="1"/>
  <c r="W48" i="3"/>
  <c r="V13" i="4" s="1"/>
  <c r="V21" i="4"/>
  <c r="T24" i="4"/>
  <c r="X29" i="3"/>
  <c r="F25" i="4"/>
  <c r="F26" i="4" s="1"/>
  <c r="V16" i="4" l="1"/>
  <c r="V23" i="4" s="1"/>
  <c r="X48" i="3"/>
  <c r="W13" i="4" s="1"/>
  <c r="W21" i="4"/>
  <c r="U24" i="4"/>
  <c r="G25" i="4"/>
  <c r="H25" i="4" s="1"/>
  <c r="Y29" i="3"/>
  <c r="W16" i="4" l="1"/>
  <c r="W23" i="4" s="1"/>
  <c r="V24" i="4"/>
  <c r="Y48" i="3"/>
  <c r="X13" i="4" s="1"/>
  <c r="X21" i="4"/>
  <c r="G26" i="4"/>
  <c r="Z29" i="3"/>
  <c r="H26" i="4"/>
  <c r="I25" i="4"/>
  <c r="X16" i="4" l="1"/>
  <c r="X23" i="4" s="1"/>
  <c r="W24" i="4"/>
  <c r="Z48" i="3"/>
  <c r="Y13" i="4" s="1"/>
  <c r="Y21" i="4"/>
  <c r="AB29" i="3"/>
  <c r="AA29" i="3"/>
  <c r="J25" i="4"/>
  <c r="I26" i="4"/>
  <c r="Y16" i="4" l="1"/>
  <c r="Y23" i="4" s="1"/>
  <c r="X24" i="4"/>
  <c r="AA48" i="3"/>
  <c r="Z13" i="4" s="1"/>
  <c r="Z21" i="4"/>
  <c r="AB48" i="3"/>
  <c r="AA13" i="4" s="1"/>
  <c r="AA21" i="4"/>
  <c r="J26" i="4"/>
  <c r="K25" i="4"/>
  <c r="AA16" i="4" l="1"/>
  <c r="AA23" i="4" s="1"/>
  <c r="Z16" i="4"/>
  <c r="Z23" i="4" s="1"/>
  <c r="Y24" i="4"/>
  <c r="F23" i="6"/>
  <c r="K26" i="4"/>
  <c r="L25" i="4"/>
  <c r="Z24" i="4" l="1"/>
  <c r="AA24" i="4" s="1"/>
  <c r="E30" i="4"/>
  <c r="L26" i="4"/>
  <c r="M25" i="4"/>
  <c r="M26" i="4" l="1"/>
  <c r="N25" i="4"/>
  <c r="O25" i="4" l="1"/>
  <c r="N26" i="4"/>
  <c r="P25" i="4" l="1"/>
  <c r="O26" i="4"/>
  <c r="P26" i="4" l="1"/>
  <c r="Q25" i="4"/>
  <c r="Q26" i="4" l="1"/>
  <c r="R25" i="4"/>
  <c r="S25" i="4" l="1"/>
  <c r="R26" i="4"/>
  <c r="S26" i="4" l="1"/>
  <c r="T25" i="4"/>
  <c r="T26" i="4" l="1"/>
  <c r="U25" i="4"/>
  <c r="V25" i="4" l="1"/>
  <c r="U26" i="4"/>
  <c r="W25" i="4" l="1"/>
  <c r="V26" i="4"/>
  <c r="W26" i="4" l="1"/>
  <c r="X25" i="4"/>
  <c r="X26" i="4" l="1"/>
  <c r="Y25" i="4"/>
  <c r="Z25" i="4" l="1"/>
  <c r="Y26" i="4"/>
  <c r="Z26" i="4" l="1"/>
  <c r="AA25" i="4"/>
  <c r="AA26" i="4" s="1"/>
</calcChain>
</file>

<file path=xl/sharedStrings.xml><?xml version="1.0" encoding="utf-8"?>
<sst xmlns="http://schemas.openxmlformats.org/spreadsheetml/2006/main" count="384" uniqueCount="312">
  <si>
    <t>1 месяц</t>
  </si>
  <si>
    <t>2 месяц</t>
  </si>
  <si>
    <t>3 месяц</t>
  </si>
  <si>
    <t>4 месяц</t>
  </si>
  <si>
    <t>5 месяц</t>
  </si>
  <si>
    <t>ОСНОВНЫЕ ПАРАМЕТРЫ ВАШЕГО БИЗНЕСА</t>
  </si>
  <si>
    <t>Параметр</t>
  </si>
  <si>
    <t>Ед.изм.</t>
  </si>
  <si>
    <t>Значение</t>
  </si>
  <si>
    <t>Инвестзатраты</t>
  </si>
  <si>
    <t>Окупаемость (в месяцах)</t>
  </si>
  <si>
    <t>Итого</t>
  </si>
  <si>
    <t>редактируемая ячейка</t>
  </si>
  <si>
    <t>автоматическое заполнение</t>
  </si>
  <si>
    <t>Наименование услуг</t>
  </si>
  <si>
    <t>ПРИБЫЛЬ ПО ФРАНШИЗЕ</t>
  </si>
  <si>
    <t>ПЛАН ПРОДАЖ ПО ФРАНШИЗЕ</t>
  </si>
  <si>
    <t>цветовые обозначения:</t>
  </si>
  <si>
    <t>кв.м.</t>
  </si>
  <si>
    <t xml:space="preserve"> В финансовой модели реализована возможность прогнозирования различных темпов вывода бизнеса на плановые показатели. Вы можете выставить свои показатели и оценить степень рискованности проекта. </t>
  </si>
  <si>
    <t>6 месяц</t>
  </si>
  <si>
    <t>7 месяц</t>
  </si>
  <si>
    <t>8 месяц</t>
  </si>
  <si>
    <t>9 месяц</t>
  </si>
  <si>
    <t>10 месяц</t>
  </si>
  <si>
    <t>РЕЗУЛЬТАТ</t>
  </si>
  <si>
    <t>руб.</t>
  </si>
  <si>
    <t>11 месяц</t>
  </si>
  <si>
    <t>12 месяц</t>
  </si>
  <si>
    <t>18 месяц</t>
  </si>
  <si>
    <t>24 месяц</t>
  </si>
  <si>
    <t>13 месяц</t>
  </si>
  <si>
    <t>14 месяц</t>
  </si>
  <si>
    <t>15 месяц</t>
  </si>
  <si>
    <t>16 месяц</t>
  </si>
  <si>
    <t>17 месяц</t>
  </si>
  <si>
    <t>19 месяц</t>
  </si>
  <si>
    <t>20 месяц</t>
  </si>
  <si>
    <t>21 месяц</t>
  </si>
  <si>
    <t>22 месяц</t>
  </si>
  <si>
    <t>23 месяц</t>
  </si>
  <si>
    <t>Средняя чистая ежемесячная прибыль</t>
  </si>
  <si>
    <t>Цена за квадратный метр</t>
  </si>
  <si>
    <t>Денежный поток</t>
  </si>
  <si>
    <t>Чистая прибыль</t>
  </si>
  <si>
    <t>Чистая прибыль нарастающим итогом</t>
  </si>
  <si>
    <t>ВОРОНКА ПРОДАЖ</t>
  </si>
  <si>
    <t xml:space="preserve">Этап </t>
  </si>
  <si>
    <t>Увидели объявление</t>
  </si>
  <si>
    <t>Заинтересовались ассортиментом</t>
  </si>
  <si>
    <t xml:space="preserve">Ознакомились с продукцией </t>
  </si>
  <si>
    <t>Приняли решение о покупке</t>
  </si>
  <si>
    <t>Порекомендовали другу</t>
  </si>
  <si>
    <t>Продажи</t>
  </si>
  <si>
    <t>Повторные продажи</t>
  </si>
  <si>
    <t>ЕЖЕМЕСЯЧНЫЕ ЗАТРАТЫ ПО ФРАНШИЗЕ</t>
  </si>
  <si>
    <t>ИНВЕСТИЦИИ НА ОРГАНИЗАЦИЮ БИЗНЕСА ПО ФРАНШИЗЕ</t>
  </si>
  <si>
    <t>Выполнение плановых показателей</t>
  </si>
  <si>
    <t>Сезонность продаж</t>
  </si>
  <si>
    <t>ЗАТРАТЫ НА ОРГАНИЗАЦИЮ БИЗНЕСА, рублей</t>
  </si>
  <si>
    <t>ЕЖЕМЕСЯЧНЫЕ ЗАТРАТЫ, рублей</t>
  </si>
  <si>
    <t>Фонд оплаты труда (ФОТ)</t>
  </si>
  <si>
    <t>Начисления на ФОТ</t>
  </si>
  <si>
    <t>ПРОДАЖИ, рублей</t>
  </si>
  <si>
    <t>Выручка по данной позиции</t>
  </si>
  <si>
    <t>ПОЛУЧЕНИЕ ПРИБЫЛИ, рублей</t>
  </si>
  <si>
    <t>Затраты, в том числе:</t>
  </si>
  <si>
    <t>Затраты на Фонд Оплаты Труда</t>
  </si>
  <si>
    <t>Помещение</t>
  </si>
  <si>
    <t>Заработная плата сотрудников</t>
  </si>
  <si>
    <t>Налогообложение</t>
  </si>
  <si>
    <t>Маркетинг</t>
  </si>
  <si>
    <t>Наименование этапа</t>
  </si>
  <si>
    <t>Затраты на налогообложение</t>
  </si>
  <si>
    <t>Роялти</t>
  </si>
  <si>
    <t>* Укажите стоимость аренды квадратного метра в рассматриваемом Вами помещении.</t>
  </si>
  <si>
    <t>Затраты на аренду помещений</t>
  </si>
  <si>
    <t>* Рекомендуемая площадь от 30 кв.м.</t>
  </si>
  <si>
    <t>Паушальный взнос</t>
  </si>
  <si>
    <t>Количество менеджеров</t>
  </si>
  <si>
    <t>Финансовое оздоровление</t>
  </si>
  <si>
    <t>Взыскание страховки с банка</t>
  </si>
  <si>
    <t>Банкротство физических лиц</t>
  </si>
  <si>
    <t>Консультации по Skype</t>
  </si>
  <si>
    <t>Площадь офисного помещения</t>
  </si>
  <si>
    <t>Город*</t>
  </si>
  <si>
    <t>Цена (руб. за кв.м. в год)</t>
  </si>
  <si>
    <t>Цена (руб. за кв.м. в месяц)</t>
  </si>
  <si>
    <t>Изменение цены за месяц</t>
  </si>
  <si>
    <t>Изменение цены c начала года</t>
  </si>
  <si>
    <t>Изменение цены за год</t>
  </si>
  <si>
    <t>Количество объявлений</t>
  </si>
  <si>
    <t>Москва</t>
  </si>
  <si>
    <t>+4.87%</t>
  </si>
  <si>
    <t>-4.01%</t>
  </si>
  <si>
    <t>-14.84%</t>
  </si>
  <si>
    <t>Санкт-Петербург</t>
  </si>
  <si>
    <t>-0.06%</t>
  </si>
  <si>
    <t>-5.2%</t>
  </si>
  <si>
    <t>-0.58%</t>
  </si>
  <si>
    <t>Хабаровск</t>
  </si>
  <si>
    <t>-0.84%</t>
  </si>
  <si>
    <t>+22.66%</t>
  </si>
  <si>
    <t>+6.18%</t>
  </si>
  <si>
    <t>Нижневартовск (Ханты-Мансийский АО - Югра)</t>
  </si>
  <si>
    <t>-1.21%</t>
  </si>
  <si>
    <t>+0.9%</t>
  </si>
  <si>
    <t>-18.09%</t>
  </si>
  <si>
    <t>Севастополь</t>
  </si>
  <si>
    <t>-1.97%</t>
  </si>
  <si>
    <t>-2.05%</t>
  </si>
  <si>
    <t>+26.55%</t>
  </si>
  <si>
    <t>Кемерово</t>
  </si>
  <si>
    <t>-1.15%</t>
  </si>
  <si>
    <t>+25.68%</t>
  </si>
  <si>
    <t>+38.24%</t>
  </si>
  <si>
    <t>Новороссийск (Краснодарский край)</t>
  </si>
  <si>
    <t>-7.81%</t>
  </si>
  <si>
    <t>-1.94%</t>
  </si>
  <si>
    <t>+62.73%</t>
  </si>
  <si>
    <t>Сургут (Ханты-Мансийский АО - Югра)</t>
  </si>
  <si>
    <t>-3.54%</t>
  </si>
  <si>
    <t>-11.39%</t>
  </si>
  <si>
    <t>-16.21%</t>
  </si>
  <si>
    <t>Балашиха (Московская область)</t>
  </si>
  <si>
    <t>-7.02%</t>
  </si>
  <si>
    <t>-7.77%</t>
  </si>
  <si>
    <t>—</t>
  </si>
  <si>
    <t>Симферополь</t>
  </si>
  <si>
    <t>+0.4%</t>
  </si>
  <si>
    <t>-6.52%</t>
  </si>
  <si>
    <t>+12.53%</t>
  </si>
  <si>
    <t>Рязань</t>
  </si>
  <si>
    <t>+1.4%</t>
  </si>
  <si>
    <t>-68.34%</t>
  </si>
  <si>
    <t>+53.38%</t>
  </si>
  <si>
    <t>Казань</t>
  </si>
  <si>
    <t>-3.41%</t>
  </si>
  <si>
    <t>+7.9%</t>
  </si>
  <si>
    <t>+6.9%</t>
  </si>
  <si>
    <t>Воронеж</t>
  </si>
  <si>
    <t>+1.42%</t>
  </si>
  <si>
    <t>+0.14%</t>
  </si>
  <si>
    <t>+26.75%</t>
  </si>
  <si>
    <t>Иркутск</t>
  </si>
  <si>
    <t>-0.09%</t>
  </si>
  <si>
    <t>-4.45%</t>
  </si>
  <si>
    <t>+14.79%</t>
  </si>
  <si>
    <t>Новосибирск</t>
  </si>
  <si>
    <t>-1.72%</t>
  </si>
  <si>
    <t>+3.56%</t>
  </si>
  <si>
    <t>+3.01%</t>
  </si>
  <si>
    <t>Уфа</t>
  </si>
  <si>
    <t>+4.24%</t>
  </si>
  <si>
    <t>+0.48%</t>
  </si>
  <si>
    <t>-3.38%</t>
  </si>
  <si>
    <t>Красноярск</t>
  </si>
  <si>
    <t>-4.73%</t>
  </si>
  <si>
    <t>-2.82%</t>
  </si>
  <si>
    <t>-15.57%</t>
  </si>
  <si>
    <t>Архангельск</t>
  </si>
  <si>
    <t>+0.51%</t>
  </si>
  <si>
    <t>+0.71%</t>
  </si>
  <si>
    <t>Ростов-на-Дону</t>
  </si>
  <si>
    <t>+0.68%</t>
  </si>
  <si>
    <t>-41.08%</t>
  </si>
  <si>
    <t>+1.13%</t>
  </si>
  <si>
    <t>Краснодар</t>
  </si>
  <si>
    <t>-1.57%</t>
  </si>
  <si>
    <t>-0.57%</t>
  </si>
  <si>
    <t>+1.71%</t>
  </si>
  <si>
    <t>Калининград</t>
  </si>
  <si>
    <t>-1.71%</t>
  </si>
  <si>
    <t>-16.82%</t>
  </si>
  <si>
    <t>+3.26%</t>
  </si>
  <si>
    <t>Электросталь (Московская область)</t>
  </si>
  <si>
    <t>+5.62%</t>
  </si>
  <si>
    <t>+13.84%</t>
  </si>
  <si>
    <t>-46.22%</t>
  </si>
  <si>
    <t>Екатеринбург</t>
  </si>
  <si>
    <t>-0.61%</t>
  </si>
  <si>
    <t>-1.93%</t>
  </si>
  <si>
    <t>-10.54%</t>
  </si>
  <si>
    <t>Комсомольск-на-Амуре (Хабаровский край)</t>
  </si>
  <si>
    <t>-4.75%</t>
  </si>
  <si>
    <t>-6.77%</t>
  </si>
  <si>
    <t>Сочи (Краснодарский край)</t>
  </si>
  <si>
    <t>-2.18%</t>
  </si>
  <si>
    <t>+28.39%</t>
  </si>
  <si>
    <t>-13.71%</t>
  </si>
  <si>
    <t>Самара</t>
  </si>
  <si>
    <t>-7.53%</t>
  </si>
  <si>
    <t>+2.81%</t>
  </si>
  <si>
    <t>+13.3%</t>
  </si>
  <si>
    <t>Пермь</t>
  </si>
  <si>
    <t>-0.81%</t>
  </si>
  <si>
    <t>+0.45%</t>
  </si>
  <si>
    <t>-21.43%</t>
  </si>
  <si>
    <t>Смоленск</t>
  </si>
  <si>
    <t>-2.11%</t>
  </si>
  <si>
    <t>+14.27%</t>
  </si>
  <si>
    <t>+34.43%</t>
  </si>
  <si>
    <t>Нижний Новгород</t>
  </si>
  <si>
    <t>-0.01%</t>
  </si>
  <si>
    <t>-2.42%</t>
  </si>
  <si>
    <t>-7.08%</t>
  </si>
  <si>
    <t>Саранск</t>
  </si>
  <si>
    <t>+23.02%</t>
  </si>
  <si>
    <t>Тула</t>
  </si>
  <si>
    <t>+2.96%</t>
  </si>
  <si>
    <t>-5.21%</t>
  </si>
  <si>
    <t>+0.18%</t>
  </si>
  <si>
    <t>Омск</t>
  </si>
  <si>
    <t>-0.87%</t>
  </si>
  <si>
    <t>+3.75%</t>
  </si>
  <si>
    <t>+18.37%</t>
  </si>
  <si>
    <t>Новокузнецк (Кемеровская область)</t>
  </si>
  <si>
    <t>+1.68%</t>
  </si>
  <si>
    <t>-33.64%</t>
  </si>
  <si>
    <t>Белгород</t>
  </si>
  <si>
    <t>-6.1%</t>
  </si>
  <si>
    <t>-9.28%</t>
  </si>
  <si>
    <t>Ярославль</t>
  </si>
  <si>
    <t>-0.11%</t>
  </si>
  <si>
    <t>-17.47%</t>
  </si>
  <si>
    <t>-24.95%</t>
  </si>
  <si>
    <t>Владимир</t>
  </si>
  <si>
    <t>-2.56%</t>
  </si>
  <si>
    <t>-5.69%</t>
  </si>
  <si>
    <t>+4.43%</t>
  </si>
  <si>
    <t>Батайск (Ростовская область)</t>
  </si>
  <si>
    <t>+1.03%</t>
  </si>
  <si>
    <t>-5.61%</t>
  </si>
  <si>
    <t>+14.28%</t>
  </si>
  <si>
    <t>Улан-Удэ</t>
  </si>
  <si>
    <t>-8.66%</t>
  </si>
  <si>
    <t>+44.49%</t>
  </si>
  <si>
    <t>-22.83%</t>
  </si>
  <si>
    <t>Калуга</t>
  </si>
  <si>
    <t>+1.77%</t>
  </si>
  <si>
    <t>+17.52%</t>
  </si>
  <si>
    <t>+59.14%</t>
  </si>
  <si>
    <t>Барнаул</t>
  </si>
  <si>
    <t>-1.18%</t>
  </si>
  <si>
    <t>+18.94%</t>
  </si>
  <si>
    <t>+3.45%</t>
  </si>
  <si>
    <t>Ижевск</t>
  </si>
  <si>
    <t>+1.34%</t>
  </si>
  <si>
    <t>+2.79%</t>
  </si>
  <si>
    <t>+18.03%</t>
  </si>
  <si>
    <t>Тверь</t>
  </si>
  <si>
    <t>+0.15%</t>
  </si>
  <si>
    <t>+13.68%</t>
  </si>
  <si>
    <t>-20.78%</t>
  </si>
  <si>
    <t>Орел</t>
  </si>
  <si>
    <t>-0.93%</t>
  </si>
  <si>
    <t>Нижний Тагил (Свердловская область)</t>
  </si>
  <si>
    <t>+34.6%</t>
  </si>
  <si>
    <t>Чебоксары</t>
  </si>
  <si>
    <t>-5.19%</t>
  </si>
  <si>
    <t>+7.38%</t>
  </si>
  <si>
    <t>-18.43%</t>
  </si>
  <si>
    <t>Иваново</t>
  </si>
  <si>
    <t>-1.77%</t>
  </si>
  <si>
    <t>-5.25%</t>
  </si>
  <si>
    <t>-4.76%</t>
  </si>
  <si>
    <t>Ставрополь</t>
  </si>
  <si>
    <t>+9.46%</t>
  </si>
  <si>
    <t>+36.16%</t>
  </si>
  <si>
    <t>+15.12%</t>
  </si>
  <si>
    <t>Пенза</t>
  </si>
  <si>
    <t>-6.41%</t>
  </si>
  <si>
    <t>+27.71%</t>
  </si>
  <si>
    <t>Вологда</t>
  </si>
  <si>
    <t>+5.48%</t>
  </si>
  <si>
    <t>+7.53%</t>
  </si>
  <si>
    <t>+9.98%</t>
  </si>
  <si>
    <t>Тольятти (Самарская область)</t>
  </si>
  <si>
    <t>+6.86%</t>
  </si>
  <si>
    <t>-56.61%</t>
  </si>
  <si>
    <t>Средний показатель</t>
  </si>
  <si>
    <t>* Города с количеством объявлений меньше 5 в данной статистике не отображаются.</t>
  </si>
  <si>
    <t>Источник</t>
  </si>
  <si>
    <t>http://www.rosrealt.ru/cena/arenda_ofis</t>
  </si>
  <si>
    <t>АРЕНДНЫЕ СТАВКИ ОФИСНЫХ ПОМЕЩЕНИЙ В ГОРОДАХ РОССИИ В ИЮЛЕ 2016Г.</t>
  </si>
  <si>
    <t>Арендные ставки офисных помещений в городах России в июле 2016 г.</t>
  </si>
  <si>
    <t>Узнали месторасположение офиса</t>
  </si>
  <si>
    <t>Оргтехника для работы</t>
  </si>
  <si>
    <t>Мебель для офиса</t>
  </si>
  <si>
    <t>Затраты на маркетинг</t>
  </si>
  <si>
    <t>по франшизе «ПРИМА ПРОТЕКТА»</t>
  </si>
  <si>
    <t xml:space="preserve"> «ПРИМА ПРОТЕКТА»</t>
  </si>
  <si>
    <t>«ПРИМА ПРОТЕКТА»</t>
  </si>
  <si>
    <t>"ПРИМА ПРОТЕКТА"</t>
  </si>
  <si>
    <t>Средний чек на данный вид услуги</t>
  </si>
  <si>
    <t>Ставка роялти-платежа на данный вид услуг</t>
  </si>
  <si>
    <t>-</t>
  </si>
  <si>
    <t>Количество заключенных договоров</t>
  </si>
  <si>
    <t>Количество оплачиваемых договоров</t>
  </si>
  <si>
    <t>Общая выручка по данной позиции</t>
  </si>
  <si>
    <t>Выплаты Клиентам компании</t>
  </si>
  <si>
    <t>Оплата услуг конкурсного управляющего</t>
  </si>
  <si>
    <t>Итоговая выручка</t>
  </si>
  <si>
    <t>Заработная плата менеджера (окладная часть)</t>
  </si>
  <si>
    <t>Премиальная часть (премия за выполнение плана и премия за количество заключенных договоров)</t>
  </si>
  <si>
    <t>Выручка общая</t>
  </si>
  <si>
    <t>Выручка франчайзи</t>
  </si>
  <si>
    <t>Итоговая выручка франчайзи</t>
  </si>
  <si>
    <t>Выплаты клиентам и конкурсному управляющему</t>
  </si>
  <si>
    <t>УСН (6%), в среднем в течение первого года</t>
  </si>
  <si>
    <t>Затраты на полиграфию</t>
  </si>
  <si>
    <t>Аренда офисных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</si>
</sst>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</numFmts>
  <fonts count="17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361B00"/>
      <name val="Times New Roman"/>
      <family val="1"/>
      <charset val="204"/>
    </font>
    <font>
      <sz val="11"/>
      <color rgb="FF361B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5" tint="-0.249977111117893"/>
      <name val="Times New Roman"/>
      <family val="1"/>
      <charset val="204"/>
    </font>
    <font>
      <b/>
      <sz val="11"/>
      <color theme="0" tint="-0.1499984740745262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AEE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AEEF3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rgb="FFE95553"/>
        <bgColor indexed="64"/>
      </patternFill>
    </fill>
    <fill>
      <patternFill patternType="solid">
        <fgColor rgb="FFE95553"/>
        <bgColor rgb="FFFFFFFF"/>
      </patternFill>
    </fill>
    <fill>
      <patternFill patternType="solid">
        <fgColor rgb="FFE95553"/>
        <bgColor rgb="FFCC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 applyFont="1" applyAlignment="1"/>
    <xf numFmtId="0" fontId="2" fillId="3" borderId="0" xfId="0" applyFont="1" applyFill="1" applyBorder="1" applyAlignment="1"/>
    <xf numFmtId="0" fontId="2" fillId="2" borderId="0" xfId="0" applyFont="1" applyFill="1" applyBorder="1"/>
    <xf numFmtId="0" fontId="2" fillId="3" borderId="0" xfId="0" applyFont="1" applyFill="1" applyBorder="1"/>
    <xf numFmtId="0" fontId="2" fillId="3" borderId="2" xfId="0" applyFont="1" applyFill="1" applyBorder="1" applyAlignment="1"/>
    <xf numFmtId="0" fontId="2" fillId="2" borderId="3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7" xfId="0" applyFont="1" applyFill="1" applyBorder="1" applyAlignment="1"/>
    <xf numFmtId="0" fontId="2" fillId="3" borderId="9" xfId="0" applyFont="1" applyFill="1" applyBorder="1"/>
    <xf numFmtId="0" fontId="2" fillId="3" borderId="9" xfId="0" applyFont="1" applyFill="1" applyBorder="1" applyAlignment="1"/>
    <xf numFmtId="0" fontId="2" fillId="4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8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/>
    <xf numFmtId="3" fontId="5" fillId="3" borderId="0" xfId="0" applyNumberFormat="1" applyFont="1" applyFill="1"/>
    <xf numFmtId="164" fontId="6" fillId="5" borderId="0" xfId="1" applyNumberFormat="1" applyFont="1" applyFill="1" applyBorder="1" applyAlignment="1">
      <alignment horizontal="center"/>
    </xf>
    <xf numFmtId="164" fontId="7" fillId="5" borderId="0" xfId="1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/>
    <xf numFmtId="164" fontId="7" fillId="9" borderId="1" xfId="1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right"/>
    </xf>
    <xf numFmtId="0" fontId="5" fillId="3" borderId="0" xfId="0" applyFont="1" applyFill="1" applyAlignment="1"/>
    <xf numFmtId="164" fontId="2" fillId="9" borderId="1" xfId="1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 vertical="center" wrapText="1"/>
    </xf>
    <xf numFmtId="164" fontId="7" fillId="10" borderId="1" xfId="1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center"/>
    </xf>
    <xf numFmtId="164" fontId="2" fillId="11" borderId="1" xfId="1" applyNumberFormat="1" applyFont="1" applyFill="1" applyBorder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/>
    <xf numFmtId="0" fontId="2" fillId="5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/>
    <xf numFmtId="0" fontId="7" fillId="3" borderId="0" xfId="0" applyFont="1" applyFill="1" applyBorder="1"/>
    <xf numFmtId="0" fontId="5" fillId="3" borderId="0" xfId="0" applyFont="1" applyFill="1"/>
    <xf numFmtId="164" fontId="7" fillId="11" borderId="1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6" borderId="1" xfId="0" applyFont="1" applyFill="1" applyBorder="1"/>
    <xf numFmtId="164" fontId="2" fillId="10" borderId="1" xfId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10" fillId="3" borderId="9" xfId="0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3" borderId="0" xfId="0" applyFont="1" applyFill="1" applyAlignment="1"/>
    <xf numFmtId="0" fontId="2" fillId="3" borderId="0" xfId="0" applyFont="1" applyFill="1" applyAlignment="1"/>
    <xf numFmtId="0" fontId="11" fillId="3" borderId="0" xfId="0" applyFont="1" applyFill="1" applyBorder="1" applyAlignment="1">
      <alignment horizontal="left" vertical="center" wrapText="1"/>
    </xf>
    <xf numFmtId="0" fontId="13" fillId="3" borderId="1" xfId="2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vertical="center"/>
    </xf>
    <xf numFmtId="0" fontId="12" fillId="3" borderId="1" xfId="2" applyFont="1" applyFill="1" applyBorder="1" applyAlignment="1">
      <alignment horizontal="left" vertical="center"/>
    </xf>
    <xf numFmtId="41" fontId="13" fillId="8" borderId="1" xfId="1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left" vertical="center" wrapText="1"/>
    </xf>
    <xf numFmtId="41" fontId="12" fillId="8" borderId="1" xfId="1" applyNumberFormat="1" applyFont="1" applyFill="1" applyBorder="1" applyAlignment="1">
      <alignment horizontal="center"/>
    </xf>
    <xf numFmtId="0" fontId="13" fillId="3" borderId="1" xfId="2" applyFont="1" applyFill="1" applyBorder="1" applyAlignment="1">
      <alignment horizontal="left" vertical="center" wrapText="1" indent="4"/>
    </xf>
    <xf numFmtId="0" fontId="2" fillId="7" borderId="1" xfId="0" applyFont="1" applyFill="1" applyBorder="1" applyAlignment="1">
      <alignment horizontal="left" indent="2"/>
    </xf>
    <xf numFmtId="164" fontId="8" fillId="7" borderId="0" xfId="0" applyNumberFormat="1" applyFont="1" applyFill="1" applyBorder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/>
    <xf numFmtId="164" fontId="2" fillId="11" borderId="1" xfId="1" applyNumberFormat="1" applyFont="1" applyFill="1" applyBorder="1" applyAlignment="1">
      <alignment horizontal="right" vertical="center" indent="2"/>
    </xf>
    <xf numFmtId="164" fontId="7" fillId="11" borderId="1" xfId="1" applyNumberFormat="1" applyFont="1" applyFill="1" applyBorder="1" applyAlignment="1">
      <alignment horizontal="right" indent="2"/>
    </xf>
    <xf numFmtId="0" fontId="2" fillId="3" borderId="1" xfId="0" applyFont="1" applyFill="1" applyBorder="1" applyAlignment="1"/>
    <xf numFmtId="1" fontId="10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/>
    <xf numFmtId="0" fontId="12" fillId="3" borderId="15" xfId="2" applyFont="1" applyFill="1" applyBorder="1" applyAlignment="1">
      <alignment horizontal="center"/>
    </xf>
    <xf numFmtId="0" fontId="2" fillId="3" borderId="0" xfId="0" applyFont="1" applyFill="1" applyAlignment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/>
    <xf numFmtId="41" fontId="2" fillId="3" borderId="0" xfId="0" applyNumberFormat="1" applyFont="1" applyFill="1" applyAlignment="1"/>
    <xf numFmtId="164" fontId="2" fillId="3" borderId="9" xfId="0" applyNumberFormat="1" applyFont="1" applyFill="1" applyBorder="1" applyAlignment="1"/>
    <xf numFmtId="10" fontId="13" fillId="12" borderId="1" xfId="1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/>
    <xf numFmtId="0" fontId="2" fillId="12" borderId="1" xfId="0" applyFont="1" applyFill="1" applyBorder="1" applyAlignment="1"/>
    <xf numFmtId="164" fontId="5" fillId="14" borderId="1" xfId="1" applyNumberFormat="1" applyFont="1" applyFill="1" applyBorder="1" applyAlignment="1">
      <alignment vertical="center"/>
    </xf>
    <xf numFmtId="0" fontId="5" fillId="14" borderId="14" xfId="0" applyFont="1" applyFill="1" applyBorder="1" applyAlignment="1">
      <alignment horizontal="center" vertical="center"/>
    </xf>
    <xf numFmtId="3" fontId="5" fillId="14" borderId="1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/>
    <xf numFmtId="0" fontId="2" fillId="3" borderId="20" xfId="0" applyFont="1" applyFill="1" applyBorder="1" applyAlignment="1"/>
    <xf numFmtId="0" fontId="2" fillId="3" borderId="29" xfId="0" applyFont="1" applyFill="1" applyBorder="1" applyAlignment="1"/>
    <xf numFmtId="0" fontId="2" fillId="3" borderId="22" xfId="0" applyFont="1" applyFill="1" applyBorder="1" applyAlignment="1"/>
    <xf numFmtId="0" fontId="2" fillId="3" borderId="16" xfId="0" applyFont="1" applyFill="1" applyBorder="1" applyAlignment="1"/>
    <xf numFmtId="0" fontId="10" fillId="3" borderId="19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2" fillId="3" borderId="17" xfId="0" applyFont="1" applyFill="1" applyBorder="1" applyAlignment="1"/>
    <xf numFmtId="0" fontId="5" fillId="0" borderId="16" xfId="0" applyFont="1" applyBorder="1"/>
    <xf numFmtId="0" fontId="5" fillId="0" borderId="23" xfId="0" applyFont="1" applyBorder="1"/>
    <xf numFmtId="0" fontId="2" fillId="3" borderId="19" xfId="0" applyFont="1" applyFill="1" applyBorder="1" applyAlignment="1"/>
    <xf numFmtId="0" fontId="2" fillId="3" borderId="21" xfId="0" applyFont="1" applyFill="1" applyBorder="1" applyAlignment="1"/>
    <xf numFmtId="0" fontId="2" fillId="3" borderId="23" xfId="0" applyFont="1" applyFill="1" applyBorder="1" applyAlignment="1"/>
    <xf numFmtId="0" fontId="2" fillId="3" borderId="24" xfId="0" applyFont="1" applyFill="1" applyBorder="1" applyAlignment="1"/>
    <xf numFmtId="0" fontId="7" fillId="3" borderId="25" xfId="0" applyFont="1" applyFill="1" applyBorder="1"/>
    <xf numFmtId="0" fontId="5" fillId="0" borderId="1" xfId="0" applyFont="1" applyFill="1" applyBorder="1" applyAlignment="1">
      <alignment vertical="center" wrapText="1"/>
    </xf>
    <xf numFmtId="0" fontId="2" fillId="3" borderId="25" xfId="0" applyFont="1" applyFill="1" applyBorder="1" applyAlignment="1"/>
    <xf numFmtId="0" fontId="2" fillId="0" borderId="1" xfId="0" applyFont="1" applyBorder="1"/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24" xfId="0" applyFont="1" applyBorder="1"/>
    <xf numFmtId="0" fontId="5" fillId="0" borderId="25" xfId="0" applyFont="1" applyBorder="1"/>
    <xf numFmtId="0" fontId="7" fillId="0" borderId="1" xfId="0" applyFont="1" applyBorder="1"/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6" xfId="0" applyFont="1" applyBorder="1"/>
    <xf numFmtId="0" fontId="5" fillId="0" borderId="27" xfId="0" applyFont="1" applyBorder="1"/>
    <xf numFmtId="0" fontId="2" fillId="3" borderId="0" xfId="0" applyFont="1" applyFill="1" applyAlignment="1"/>
    <xf numFmtId="9" fontId="5" fillId="14" borderId="1" xfId="1" applyNumberFormat="1" applyFont="1" applyFill="1" applyBorder="1" applyAlignment="1">
      <alignment horizontal="center" vertical="center"/>
    </xf>
    <xf numFmtId="0" fontId="0" fillId="0" borderId="16" xfId="0" applyFont="1" applyBorder="1" applyAlignment="1"/>
    <xf numFmtId="0" fontId="15" fillId="12" borderId="1" xfId="0" applyFont="1" applyFill="1" applyBorder="1" applyAlignment="1"/>
    <xf numFmtId="0" fontId="7" fillId="8" borderId="1" xfId="0" applyFont="1" applyFill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22" xfId="0" applyFont="1" applyBorder="1"/>
    <xf numFmtId="0" fontId="5" fillId="0" borderId="33" xfId="0" applyFont="1" applyBorder="1"/>
    <xf numFmtId="0" fontId="12" fillId="3" borderId="10" xfId="2" applyFont="1" applyFill="1" applyBorder="1" applyAlignment="1">
      <alignment vertical="center" wrapText="1"/>
    </xf>
    <xf numFmtId="0" fontId="12" fillId="3" borderId="12" xfId="2" applyFont="1" applyFill="1" applyBorder="1" applyAlignment="1">
      <alignment vertical="center" wrapText="1"/>
    </xf>
    <xf numFmtId="0" fontId="12" fillId="3" borderId="11" xfId="2" applyFont="1" applyFill="1" applyBorder="1" applyAlignment="1">
      <alignment vertical="center" wrapText="1"/>
    </xf>
    <xf numFmtId="41" fontId="13" fillId="3" borderId="10" xfId="1" applyNumberFormat="1" applyFont="1" applyFill="1" applyBorder="1" applyAlignment="1">
      <alignment vertical="center"/>
    </xf>
    <xf numFmtId="41" fontId="13" fillId="3" borderId="12" xfId="1" applyNumberFormat="1" applyFont="1" applyFill="1" applyBorder="1" applyAlignment="1">
      <alignment vertical="center"/>
    </xf>
    <xf numFmtId="41" fontId="13" fillId="3" borderId="11" xfId="1" applyNumberFormat="1" applyFont="1" applyFill="1" applyBorder="1" applyAlignment="1">
      <alignment vertical="center"/>
    </xf>
    <xf numFmtId="0" fontId="12" fillId="3" borderId="10" xfId="2" applyFont="1" applyFill="1" applyBorder="1" applyAlignment="1"/>
    <xf numFmtId="0" fontId="12" fillId="3" borderId="12" xfId="2" applyFont="1" applyFill="1" applyBorder="1" applyAlignment="1"/>
    <xf numFmtId="0" fontId="12" fillId="3" borderId="11" xfId="2" applyFont="1" applyFill="1" applyBorder="1" applyAlignment="1"/>
    <xf numFmtId="41" fontId="16" fillId="8" borderId="1" xfId="1" applyNumberFormat="1" applyFont="1" applyFill="1" applyBorder="1" applyAlignment="1">
      <alignment horizontal="center"/>
    </xf>
    <xf numFmtId="0" fontId="2" fillId="3" borderId="0" xfId="0" applyFont="1" applyFill="1" applyAlignment="1"/>
    <xf numFmtId="0" fontId="2" fillId="5" borderId="1" xfId="0" applyFont="1" applyFill="1" applyBorder="1" applyAlignment="1">
      <alignment horizontal="left" vertical="center" indent="3"/>
    </xf>
    <xf numFmtId="0" fontId="13" fillId="3" borderId="10" xfId="2" applyFont="1" applyFill="1" applyBorder="1" applyAlignment="1">
      <alignment horizontal="left" vertical="center" wrapText="1" indent="4"/>
    </xf>
    <xf numFmtId="41" fontId="13" fillId="12" borderId="1" xfId="1" applyNumberFormat="1" applyFont="1" applyFill="1" applyBorder="1" applyAlignment="1">
      <alignment horizontal="center" vertical="center"/>
    </xf>
    <xf numFmtId="164" fontId="5" fillId="14" borderId="11" xfId="1" applyNumberFormat="1" applyFont="1" applyFill="1" applyBorder="1" applyAlignment="1">
      <alignment vertical="center"/>
    </xf>
    <xf numFmtId="0" fontId="2" fillId="3" borderId="0" xfId="0" applyFont="1" applyFill="1" applyAlignment="1"/>
    <xf numFmtId="0" fontId="7" fillId="7" borderId="1" xfId="0" applyFont="1" applyFill="1" applyBorder="1" applyAlignment="1">
      <alignment horizontal="left"/>
    </xf>
    <xf numFmtId="0" fontId="2" fillId="3" borderId="0" xfId="0" applyFont="1" applyFill="1" applyAlignment="1"/>
    <xf numFmtId="0" fontId="14" fillId="12" borderId="7" xfId="0" applyFont="1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3" borderId="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14" fillId="1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3" borderId="13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 indent="3"/>
    </xf>
    <xf numFmtId="0" fontId="2" fillId="5" borderId="12" xfId="0" applyFont="1" applyFill="1" applyBorder="1" applyAlignment="1">
      <alignment horizontal="left" vertical="center" indent="3"/>
    </xf>
    <xf numFmtId="0" fontId="2" fillId="5" borderId="11" xfId="0" applyFont="1" applyFill="1" applyBorder="1" applyAlignment="1">
      <alignment horizontal="left" vertical="center" indent="3"/>
    </xf>
    <xf numFmtId="0" fontId="7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 indent="3"/>
    </xf>
    <xf numFmtId="0" fontId="3" fillId="4" borderId="1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3" borderId="1" xfId="2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center" wrapText="1"/>
    </xf>
    <xf numFmtId="164" fontId="8" fillId="7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E95553"/>
      <color rgb="FFEFEA04"/>
      <color rgb="FFF60000"/>
      <color rgb="FF030351"/>
      <color rgb="FFF77600"/>
      <color rgb="FFE4130E"/>
      <color rgb="FFE65D00"/>
      <color rgb="FFFF9933"/>
      <color rgb="FF901818"/>
      <color rgb="FFFF7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221551416971539E-2"/>
          <c:y val="5.2308889819535923E-2"/>
          <c:w val="0.90056150875877361"/>
          <c:h val="0.84611265900849753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Прибыль_окупаемость!$D$12:$AA$12</c:f>
              <c:strCache>
                <c:ptCount val="1"/>
                <c:pt idx="0">
                  <c:v>1 2 3 4 5 6 7 8 9 10 11 12 13 14 15 16 17 18 19 20 21 22 23 24</c:v>
                </c:pt>
              </c:strCache>
            </c:strRef>
          </c:tx>
          <c:spPr>
            <a:solidFill>
              <a:srgbClr val="E95553"/>
            </a:solidFill>
            <a:ln>
              <a:solidFill>
                <a:schemeClr val="bg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balanced" dir="t"/>
            </a:scene3d>
            <a:sp3d>
              <a:contourClr>
                <a:schemeClr val="tx1"/>
              </a:contourClr>
            </a:sp3d>
          </c:spPr>
          <c:invertIfNegative val="1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Прибыль_окупаемость!$D$25:$AA$25</c:f>
              <c:numCache>
                <c:formatCode>_-* #,##0_р_._-;\-* #,##0_р_._-;_-* "-"??_р_._-;_-@_-</c:formatCode>
                <c:ptCount val="24"/>
                <c:pt idx="0">
                  <c:v>-480930</c:v>
                </c:pt>
                <c:pt idx="1">
                  <c:v>-453240</c:v>
                </c:pt>
                <c:pt idx="2">
                  <c:v>-157250</c:v>
                </c:pt>
                <c:pt idx="3">
                  <c:v>368840</c:v>
                </c:pt>
                <c:pt idx="4">
                  <c:v>1073070</c:v>
                </c:pt>
                <c:pt idx="5">
                  <c:v>1852200</c:v>
                </c:pt>
                <c:pt idx="6">
                  <c:v>2740330</c:v>
                </c:pt>
                <c:pt idx="7">
                  <c:v>3739460</c:v>
                </c:pt>
                <c:pt idx="8">
                  <c:v>5022690</c:v>
                </c:pt>
                <c:pt idx="9">
                  <c:v>6383620</c:v>
                </c:pt>
                <c:pt idx="10">
                  <c:v>7822250</c:v>
                </c:pt>
                <c:pt idx="11">
                  <c:v>9338580</c:v>
                </c:pt>
                <c:pt idx="12">
                  <c:v>10911530</c:v>
                </c:pt>
                <c:pt idx="13">
                  <c:v>12538080</c:v>
                </c:pt>
                <c:pt idx="14">
                  <c:v>14479030</c:v>
                </c:pt>
                <c:pt idx="15">
                  <c:v>16419980</c:v>
                </c:pt>
                <c:pt idx="16">
                  <c:v>18363730</c:v>
                </c:pt>
                <c:pt idx="17">
                  <c:v>20304680</c:v>
                </c:pt>
                <c:pt idx="18">
                  <c:v>22245630</c:v>
                </c:pt>
                <c:pt idx="19">
                  <c:v>24186580</c:v>
                </c:pt>
                <c:pt idx="20">
                  <c:v>26127530</c:v>
                </c:pt>
                <c:pt idx="21">
                  <c:v>28068480</c:v>
                </c:pt>
                <c:pt idx="22">
                  <c:v>30009430</c:v>
                </c:pt>
                <c:pt idx="23">
                  <c:v>31950380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D9E-4F91-88A4-8839C9CA682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Прибыль_окупаемость!#REF!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EFEA04"/>
                  </a:solidFill>
                  <a:ln>
                    <a:solidFill>
                      <a:schemeClr val="bg1"/>
                    </a:solidFill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/>
                    <a:lightRig rig="balanced" dir="t"/>
                  </a:scene3d>
                  <a:sp3d>
                    <a:contourClr>
                      <a:schemeClr val="tx1"/>
                    </a:contourClr>
                  </a:sp3d>
                </c14:spPr>
              </c14:invertSolidFillFmt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cylinder"/>
        <c:axId val="58024704"/>
        <c:axId val="58032128"/>
        <c:axId val="0"/>
      </c:bar3DChart>
      <c:catAx>
        <c:axId val="580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b="0"/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high"/>
        <c:spPr>
          <a:noFill/>
          <a:ln w="12700" cap="flat" cmpd="sng" algn="ctr">
            <a:solidFill>
              <a:schemeClr val="bg1">
                <a:lumMod val="85000"/>
                <a:alpha val="54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8032128"/>
        <c:crosses val="autoZero"/>
        <c:auto val="0"/>
        <c:lblAlgn val="ctr"/>
        <c:lblOffset val="10"/>
        <c:tickLblSkip val="1"/>
        <c:noMultiLvlLbl val="0"/>
      </c:catAx>
      <c:valAx>
        <c:axId val="58032128"/>
        <c:scaling>
          <c:orientation val="minMax"/>
          <c:min val="-1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b="0"/>
                  <a:t>рублей</a:t>
                </a:r>
              </a:p>
            </c:rich>
          </c:tx>
          <c:layout>
            <c:manualLayout>
              <c:xMode val="edge"/>
              <c:yMode val="edge"/>
              <c:x val="8.6474629862661856E-2"/>
              <c:y val="0.904599125632093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р_._-;\-* #,##0_р_._-;_-* &quot;-&quot;??_р_._-;_-@_-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8024704"/>
        <c:crosses val="autoZero"/>
        <c:crossBetween val="between"/>
        <c:majorUnit val="3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bg1">
            <a:lumMod val="95000"/>
          </a:schemeClr>
        </a:gs>
        <a:gs pos="100000">
          <a:schemeClr val="bg1">
            <a:lumMod val="95000"/>
          </a:schemeClr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bg1">
          <a:lumMod val="6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4</xdr:row>
      <xdr:rowOff>219075</xdr:rowOff>
    </xdr:from>
    <xdr:to>
      <xdr:col>5</xdr:col>
      <xdr:colOff>962025</xdr:colOff>
      <xdr:row>4</xdr:row>
      <xdr:rowOff>1228725</xdr:rowOff>
    </xdr:to>
    <xdr:pic>
      <xdr:nvPicPr>
        <xdr:cNvPr id="4" name="Рисунок 3" descr="Антиколлекторское агентство в Екатеринбурге,  услуги антиколлекторов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23950"/>
          <a:ext cx="27146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4</xdr:row>
      <xdr:rowOff>219075</xdr:rowOff>
    </xdr:from>
    <xdr:to>
      <xdr:col>4</xdr:col>
      <xdr:colOff>476250</xdr:colOff>
      <xdr:row>4</xdr:row>
      <xdr:rowOff>1228725</xdr:rowOff>
    </xdr:to>
    <xdr:pic>
      <xdr:nvPicPr>
        <xdr:cNvPr id="3" name="Рисунок 2" descr="Антиколлекторское агентство в Екатеринбурге,  услуги антиколлекторов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095375"/>
          <a:ext cx="27146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1304925</xdr:colOff>
      <xdr:row>4</xdr:row>
      <xdr:rowOff>190500</xdr:rowOff>
    </xdr:from>
    <xdr:to>
      <xdr:col>2</xdr:col>
      <xdr:colOff>4020911</xdr:colOff>
      <xdr:row>4</xdr:row>
      <xdr:rowOff>1200150</xdr:rowOff>
    </xdr:to>
    <xdr:pic>
      <xdr:nvPicPr>
        <xdr:cNvPr id="3" name="Рисунок 2" descr="Антиколлекторское агентство в Екатеринбурге,  услуги антиколлекторов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066800"/>
          <a:ext cx="27146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176893</xdr:colOff>
      <xdr:row>4</xdr:row>
      <xdr:rowOff>163286</xdr:rowOff>
    </xdr:from>
    <xdr:to>
      <xdr:col>15</xdr:col>
      <xdr:colOff>416815</xdr:colOff>
      <xdr:row>8</xdr:row>
      <xdr:rowOff>492579</xdr:rowOff>
    </xdr:to>
    <xdr:pic>
      <xdr:nvPicPr>
        <xdr:cNvPr id="3" name="Рисунок 2" descr="Антиколлекторское агентство в Екатеринбурге,  услуги антиколлекторов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5286" y="1129393"/>
          <a:ext cx="2934137" cy="109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30</xdr:row>
      <xdr:rowOff>92527</xdr:rowOff>
    </xdr:from>
    <xdr:to>
      <xdr:col>27</xdr:col>
      <xdr:colOff>28574</xdr:colOff>
      <xdr:row>31</xdr:row>
      <xdr:rowOff>4680856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653143</xdr:colOff>
      <xdr:row>4</xdr:row>
      <xdr:rowOff>258535</xdr:rowOff>
    </xdr:from>
    <xdr:to>
      <xdr:col>14</xdr:col>
      <xdr:colOff>893065</xdr:colOff>
      <xdr:row>8</xdr:row>
      <xdr:rowOff>29935</xdr:rowOff>
    </xdr:to>
    <xdr:pic>
      <xdr:nvPicPr>
        <xdr:cNvPr id="4" name="Рисунок 3" descr="Антиколлекторское агентство в Екатеринбурге,  услуги антиколлекторов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0179" y="1156606"/>
          <a:ext cx="2934137" cy="109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70" zoomScaleNormal="70" workbookViewId="0"/>
  </sheetViews>
  <sheetFormatPr defaultColWidth="15.140625" defaultRowHeight="15" customHeight="1" x14ac:dyDescent="0.25"/>
  <cols>
    <col min="1" max="1" width="6.7109375" style="1" customWidth="1"/>
    <col min="2" max="2" width="3.42578125" style="1" customWidth="1"/>
    <col min="3" max="3" width="29.140625" style="42" bestFit="1" customWidth="1"/>
    <col min="4" max="4" width="7.85546875" style="42" bestFit="1" customWidth="1"/>
    <col min="5" max="5" width="12.7109375" style="42" customWidth="1"/>
    <col min="6" max="6" width="40.42578125" style="42" customWidth="1"/>
    <col min="7" max="7" width="9" style="1" customWidth="1"/>
    <col min="8" max="8" width="15.140625" style="1"/>
    <col min="9" max="16384" width="15.140625" style="42"/>
  </cols>
  <sheetData>
    <row r="1" spans="2:7" ht="15.75" thickBot="1" x14ac:dyDescent="0.3">
      <c r="C1" s="2"/>
      <c r="D1" s="2"/>
      <c r="E1" s="3"/>
      <c r="F1" s="3"/>
      <c r="G1" s="3"/>
    </row>
    <row r="2" spans="2:7" x14ac:dyDescent="0.25">
      <c r="B2" s="4"/>
      <c r="C2" s="5"/>
      <c r="D2" s="5"/>
      <c r="E2" s="6"/>
      <c r="F2" s="6"/>
      <c r="G2" s="7"/>
    </row>
    <row r="3" spans="2:7" ht="20.25" x14ac:dyDescent="0.3">
      <c r="B3" s="155" t="s">
        <v>5</v>
      </c>
      <c r="C3" s="156"/>
      <c r="D3" s="156"/>
      <c r="E3" s="156"/>
      <c r="F3" s="156"/>
      <c r="G3" s="157"/>
    </row>
    <row r="4" spans="2:7" ht="20.25" x14ac:dyDescent="0.3">
      <c r="B4" s="158" t="s">
        <v>290</v>
      </c>
      <c r="C4" s="159"/>
      <c r="D4" s="159"/>
      <c r="E4" s="159"/>
      <c r="F4" s="159"/>
      <c r="G4" s="160"/>
    </row>
    <row r="5" spans="2:7" ht="107.25" customHeight="1" x14ac:dyDescent="0.25">
      <c r="B5" s="8"/>
      <c r="C5" s="2"/>
      <c r="D5" s="2"/>
      <c r="E5" s="2"/>
      <c r="F5" s="2"/>
      <c r="G5" s="9"/>
    </row>
    <row r="6" spans="2:7" x14ac:dyDescent="0.25">
      <c r="B6" s="8"/>
      <c r="C6" s="59"/>
      <c r="D6" s="60"/>
      <c r="E6" s="163" t="s">
        <v>17</v>
      </c>
      <c r="F6" s="163"/>
      <c r="G6" s="10"/>
    </row>
    <row r="7" spans="2:7" x14ac:dyDescent="0.25">
      <c r="B7" s="8"/>
      <c r="C7" s="59"/>
      <c r="D7" s="1"/>
      <c r="E7" s="91"/>
      <c r="F7" s="161" t="s">
        <v>12</v>
      </c>
      <c r="G7" s="162"/>
    </row>
    <row r="8" spans="2:7" x14ac:dyDescent="0.25">
      <c r="B8" s="8"/>
      <c r="C8" s="59"/>
      <c r="D8" s="1"/>
      <c r="E8" s="61"/>
      <c r="F8" s="161" t="s">
        <v>13</v>
      </c>
      <c r="G8" s="162"/>
    </row>
    <row r="9" spans="2:7" ht="15.75" customHeight="1" x14ac:dyDescent="0.25">
      <c r="B9" s="8"/>
      <c r="C9" s="1"/>
      <c r="D9" s="3"/>
      <c r="E9" s="3"/>
      <c r="F9" s="3"/>
      <c r="G9" s="10"/>
    </row>
    <row r="10" spans="2:7" ht="15.75" customHeight="1" x14ac:dyDescent="0.25">
      <c r="B10" s="8"/>
      <c r="C10" s="16" t="s">
        <v>6</v>
      </c>
      <c r="D10" s="16" t="s">
        <v>7</v>
      </c>
      <c r="E10" s="16" t="s">
        <v>8</v>
      </c>
      <c r="F10" s="11"/>
      <c r="G10" s="10"/>
    </row>
    <row r="11" spans="2:7" ht="34.5" customHeight="1" x14ac:dyDescent="0.25">
      <c r="B11" s="8"/>
      <c r="C11" s="17" t="s">
        <v>84</v>
      </c>
      <c r="D11" s="12" t="s">
        <v>18</v>
      </c>
      <c r="E11" s="94">
        <v>30</v>
      </c>
      <c r="F11" s="161" t="s">
        <v>77</v>
      </c>
      <c r="G11" s="162"/>
    </row>
    <row r="12" spans="2:7" ht="31.5" customHeight="1" x14ac:dyDescent="0.25">
      <c r="B12" s="8"/>
      <c r="C12" s="43" t="s">
        <v>42</v>
      </c>
      <c r="D12" s="12" t="s">
        <v>26</v>
      </c>
      <c r="E12" s="95">
        <f>'Арендные ставки '!E62</f>
        <v>789</v>
      </c>
      <c r="F12" s="161" t="s">
        <v>75</v>
      </c>
      <c r="G12" s="162"/>
    </row>
    <row r="13" spans="2:7" ht="15" customHeight="1" thickBot="1" x14ac:dyDescent="0.3">
      <c r="B13" s="13"/>
      <c r="C13" s="14"/>
      <c r="D13" s="14"/>
      <c r="E13" s="14"/>
      <c r="F13" s="14"/>
      <c r="G13" s="15"/>
    </row>
    <row r="14" spans="2:7" ht="15" customHeight="1" x14ac:dyDescent="0.25">
      <c r="C14" s="1"/>
      <c r="D14" s="1"/>
      <c r="E14" s="1"/>
      <c r="F14" s="1"/>
    </row>
    <row r="15" spans="2:7" ht="15" customHeight="1" x14ac:dyDescent="0.25">
      <c r="C15" s="1"/>
      <c r="D15" s="1"/>
      <c r="E15" s="1"/>
      <c r="F15" s="1"/>
    </row>
    <row r="16" spans="2:7" ht="15" customHeight="1" x14ac:dyDescent="0.25">
      <c r="C16" s="1"/>
      <c r="D16" s="1"/>
      <c r="E16" s="1"/>
      <c r="F16" s="1"/>
    </row>
  </sheetData>
  <mergeCells count="7">
    <mergeCell ref="B3:G3"/>
    <mergeCell ref="B4:G4"/>
    <mergeCell ref="F12:G12"/>
    <mergeCell ref="F7:G7"/>
    <mergeCell ref="F8:G8"/>
    <mergeCell ref="F11:G11"/>
    <mergeCell ref="E6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7"/>
  <sheetViews>
    <sheetView zoomScale="70" zoomScaleNormal="70" workbookViewId="0"/>
  </sheetViews>
  <sheetFormatPr defaultColWidth="15.140625" defaultRowHeight="15" x14ac:dyDescent="0.25"/>
  <cols>
    <col min="1" max="1" width="4.28515625" style="41" customWidth="1"/>
    <col min="2" max="2" width="4" style="41" customWidth="1"/>
    <col min="3" max="3" width="50.140625" style="41" bestFit="1" customWidth="1"/>
    <col min="4" max="4" width="6.5703125" style="42" bestFit="1" customWidth="1"/>
    <col min="5" max="5" width="11.42578125" style="41" customWidth="1"/>
    <col min="6" max="6" width="16" style="41" bestFit="1" customWidth="1"/>
    <col min="7" max="7" width="9.5703125" style="41" customWidth="1"/>
    <col min="8" max="10" width="23.5703125" style="41" customWidth="1"/>
    <col min="11" max="11" width="7.5703125" style="41" customWidth="1"/>
    <col min="12" max="12" width="32.42578125" style="41" customWidth="1"/>
    <col min="13" max="13" width="11.28515625" style="41" customWidth="1"/>
    <col min="14" max="14" width="13.42578125" style="41" customWidth="1"/>
    <col min="15" max="15" width="16.42578125" style="41" customWidth="1"/>
    <col min="16" max="16" width="17.28515625" style="41" customWidth="1"/>
    <col min="17" max="17" width="14.7109375" style="41" customWidth="1"/>
    <col min="18" max="16384" width="15.140625" style="41"/>
  </cols>
  <sheetData>
    <row r="1" spans="2:17" ht="15" customHeight="1" thickBot="1" x14ac:dyDescent="0.3"/>
    <row r="2" spans="2:17" ht="15" customHeight="1" x14ac:dyDescent="0.25">
      <c r="B2" s="4"/>
      <c r="C2" s="18"/>
      <c r="D2" s="18"/>
      <c r="E2" s="18"/>
      <c r="F2" s="18"/>
      <c r="G2" s="19"/>
      <c r="H2" s="1"/>
      <c r="I2" s="1"/>
      <c r="J2" s="1"/>
    </row>
    <row r="3" spans="2:17" ht="18.75" customHeight="1" x14ac:dyDescent="0.3">
      <c r="B3" s="155" t="s">
        <v>56</v>
      </c>
      <c r="C3" s="156"/>
      <c r="D3" s="156"/>
      <c r="E3" s="156"/>
      <c r="F3" s="156"/>
      <c r="G3" s="157"/>
      <c r="H3" s="1"/>
      <c r="I3" s="1"/>
      <c r="J3" s="1"/>
    </row>
    <row r="4" spans="2:17" ht="20.25" x14ac:dyDescent="0.3">
      <c r="B4" s="155" t="s">
        <v>291</v>
      </c>
      <c r="C4" s="156"/>
      <c r="D4" s="156"/>
      <c r="E4" s="156"/>
      <c r="F4" s="156"/>
      <c r="G4" s="157"/>
      <c r="H4" s="1"/>
      <c r="I4" s="1"/>
      <c r="J4" s="1"/>
    </row>
    <row r="5" spans="2:17" ht="108.75" customHeight="1" x14ac:dyDescent="0.25">
      <c r="B5" s="8"/>
      <c r="C5" s="1"/>
      <c r="D5" s="1"/>
      <c r="E5" s="1"/>
      <c r="F5" s="1"/>
      <c r="G5" s="10"/>
      <c r="H5" s="1"/>
    </row>
    <row r="6" spans="2:17" x14ac:dyDescent="0.25">
      <c r="B6" s="8"/>
      <c r="C6" s="1"/>
      <c r="D6" s="54" t="s">
        <v>17</v>
      </c>
      <c r="E6" s="54"/>
      <c r="G6" s="62"/>
      <c r="H6" s="1"/>
    </row>
    <row r="7" spans="2:17" ht="15" customHeight="1" x14ac:dyDescent="0.25">
      <c r="B7" s="8"/>
      <c r="C7" s="1"/>
      <c r="D7" s="91"/>
      <c r="E7" s="168" t="s">
        <v>12</v>
      </c>
      <c r="F7" s="161"/>
      <c r="G7" s="162"/>
      <c r="H7" s="1"/>
      <c r="I7" s="44"/>
      <c r="J7" s="44"/>
    </row>
    <row r="8" spans="2:17" ht="15" customHeight="1" x14ac:dyDescent="0.25">
      <c r="B8" s="8"/>
      <c r="C8" s="1"/>
      <c r="D8" s="61"/>
      <c r="E8" s="168" t="s">
        <v>13</v>
      </c>
      <c r="F8" s="161"/>
      <c r="G8" s="162"/>
      <c r="H8" s="1"/>
      <c r="I8" s="44"/>
      <c r="J8" s="44"/>
    </row>
    <row r="9" spans="2:17" ht="15" customHeight="1" x14ac:dyDescent="0.25">
      <c r="B9" s="8"/>
      <c r="C9" s="1"/>
      <c r="D9" s="1"/>
      <c r="E9" s="1"/>
      <c r="F9" s="1"/>
      <c r="G9" s="10"/>
      <c r="H9" s="1"/>
      <c r="I9" s="45"/>
      <c r="J9" s="45"/>
    </row>
    <row r="10" spans="2:17" ht="20.25" x14ac:dyDescent="0.3">
      <c r="B10" s="8"/>
      <c r="C10" s="169" t="s">
        <v>59</v>
      </c>
      <c r="D10" s="170"/>
      <c r="E10" s="170"/>
      <c r="F10" s="171"/>
      <c r="G10" s="46"/>
      <c r="H10" s="1"/>
      <c r="I10" s="47"/>
      <c r="J10" s="47"/>
      <c r="L10" s="166"/>
      <c r="M10" s="167"/>
      <c r="N10" s="167"/>
      <c r="O10" s="167"/>
      <c r="P10" s="167"/>
      <c r="Q10" s="167"/>
    </row>
    <row r="11" spans="2:17" s="87" customFormat="1" ht="14.25" customHeight="1" x14ac:dyDescent="0.25">
      <c r="B11" s="8"/>
      <c r="C11" s="164" t="s">
        <v>78</v>
      </c>
      <c r="D11" s="164"/>
      <c r="E11" s="164"/>
      <c r="F11" s="79">
        <v>300000</v>
      </c>
      <c r="G11" s="46"/>
      <c r="H11" s="1"/>
      <c r="I11" s="47"/>
      <c r="J11" s="47"/>
      <c r="L11" s="86"/>
    </row>
    <row r="12" spans="2:17" x14ac:dyDescent="0.25">
      <c r="B12" s="8"/>
      <c r="C12" s="164" t="s">
        <v>288</v>
      </c>
      <c r="D12" s="164"/>
      <c r="E12" s="164"/>
      <c r="F12" s="79">
        <v>25000</v>
      </c>
      <c r="G12" s="10"/>
      <c r="H12" s="1"/>
      <c r="I12" s="1"/>
      <c r="J12" s="1"/>
      <c r="L12" s="48"/>
      <c r="M12" s="20"/>
      <c r="N12" s="21"/>
      <c r="O12" s="21"/>
      <c r="P12" s="21"/>
      <c r="Q12" s="21"/>
    </row>
    <row r="13" spans="2:17" s="77" customFormat="1" x14ac:dyDescent="0.25">
      <c r="B13" s="8"/>
      <c r="C13" s="164" t="s">
        <v>310</v>
      </c>
      <c r="D13" s="164"/>
      <c r="E13" s="164"/>
      <c r="F13" s="79">
        <v>15000</v>
      </c>
      <c r="G13" s="10"/>
      <c r="H13" s="1"/>
      <c r="I13" s="1"/>
      <c r="J13" s="1"/>
      <c r="L13" s="48"/>
      <c r="M13" s="20"/>
      <c r="N13" s="21"/>
      <c r="O13" s="21"/>
      <c r="P13" s="21"/>
      <c r="Q13" s="21"/>
    </row>
    <row r="14" spans="2:17" x14ac:dyDescent="0.25">
      <c r="B14" s="8"/>
      <c r="C14" s="164" t="s">
        <v>289</v>
      </c>
      <c r="D14" s="164"/>
      <c r="E14" s="164"/>
      <c r="F14" s="79">
        <v>30000</v>
      </c>
      <c r="G14" s="10"/>
      <c r="H14" s="1"/>
      <c r="I14" s="1"/>
      <c r="J14" s="1"/>
      <c r="L14" s="48"/>
      <c r="M14" s="20"/>
      <c r="N14" s="21"/>
      <c r="O14" s="21"/>
      <c r="P14" s="21"/>
      <c r="Q14" s="21"/>
    </row>
    <row r="15" spans="2:17" x14ac:dyDescent="0.25">
      <c r="B15" s="8"/>
      <c r="C15" s="164" t="s">
        <v>287</v>
      </c>
      <c r="D15" s="164"/>
      <c r="E15" s="164"/>
      <c r="F15" s="79">
        <v>60000</v>
      </c>
      <c r="G15" s="10"/>
      <c r="H15" s="1"/>
      <c r="I15" s="1"/>
      <c r="J15" s="1"/>
      <c r="L15" s="48"/>
      <c r="M15" s="20"/>
      <c r="N15" s="21"/>
      <c r="O15" s="21"/>
      <c r="P15" s="21"/>
      <c r="Q15" s="21"/>
    </row>
    <row r="16" spans="2:17" x14ac:dyDescent="0.25">
      <c r="B16" s="8"/>
      <c r="C16" s="165" t="s">
        <v>11</v>
      </c>
      <c r="D16" s="165"/>
      <c r="E16" s="165"/>
      <c r="F16" s="80">
        <f>SUM(F11:F15)</f>
        <v>430000</v>
      </c>
      <c r="G16" s="10"/>
      <c r="H16" s="1"/>
      <c r="I16" s="1"/>
      <c r="J16" s="1"/>
      <c r="L16" s="48"/>
      <c r="M16" s="22"/>
      <c r="N16" s="21"/>
      <c r="O16" s="21"/>
      <c r="P16" s="21"/>
      <c r="Q16" s="21"/>
    </row>
    <row r="17" spans="2:10" ht="15" customHeight="1" thickBot="1" x14ac:dyDescent="0.3">
      <c r="B17" s="13"/>
      <c r="C17" s="14"/>
      <c r="D17" s="14"/>
      <c r="E17" s="14"/>
      <c r="F17" s="14"/>
      <c r="G17" s="15"/>
      <c r="H17" s="1"/>
      <c r="I17" s="1"/>
      <c r="J17" s="1"/>
    </row>
    <row r="20" spans="2:10" x14ac:dyDescent="0.25">
      <c r="B20" s="1"/>
      <c r="C20" s="25"/>
      <c r="D20" s="25"/>
      <c r="E20" s="25"/>
      <c r="F20" s="25"/>
      <c r="G20" s="1"/>
    </row>
    <row r="21" spans="2:10" x14ac:dyDescent="0.25">
      <c r="B21" s="1"/>
      <c r="C21" s="25"/>
      <c r="D21" s="25"/>
      <c r="E21" s="25"/>
      <c r="F21" s="25"/>
      <c r="G21" s="1"/>
    </row>
    <row r="22" spans="2:10" x14ac:dyDescent="0.25">
      <c r="B22" s="1"/>
      <c r="C22" s="25"/>
      <c r="D22" s="25"/>
      <c r="E22" s="25"/>
      <c r="F22" s="25"/>
      <c r="G22" s="1"/>
    </row>
    <row r="23" spans="2:10" x14ac:dyDescent="0.25">
      <c r="B23" s="1"/>
      <c r="C23" s="25"/>
      <c r="D23" s="25"/>
      <c r="E23" s="25"/>
      <c r="F23" s="25"/>
      <c r="G23" s="1"/>
    </row>
    <row r="24" spans="2:10" x14ac:dyDescent="0.25">
      <c r="B24" s="1"/>
      <c r="C24" s="25"/>
      <c r="D24" s="25"/>
      <c r="E24" s="25"/>
      <c r="F24" s="25"/>
      <c r="G24" s="1"/>
    </row>
    <row r="25" spans="2:10" x14ac:dyDescent="0.25">
      <c r="B25" s="1"/>
      <c r="C25" s="25"/>
      <c r="D25" s="25"/>
      <c r="E25" s="25"/>
      <c r="F25" s="25"/>
      <c r="G25" s="1"/>
    </row>
    <row r="26" spans="2:10" x14ac:dyDescent="0.25">
      <c r="B26" s="1"/>
      <c r="C26" s="1"/>
      <c r="D26" s="1"/>
      <c r="E26" s="1"/>
      <c r="F26" s="1"/>
      <c r="G26" s="1"/>
    </row>
    <row r="27" spans="2:10" x14ac:dyDescent="0.25">
      <c r="B27" s="1"/>
      <c r="C27" s="1"/>
      <c r="D27" s="1"/>
      <c r="E27" s="1"/>
      <c r="F27" s="1"/>
      <c r="G27" s="1"/>
    </row>
  </sheetData>
  <mergeCells count="12">
    <mergeCell ref="B3:G3"/>
    <mergeCell ref="L10:Q10"/>
    <mergeCell ref="E7:G7"/>
    <mergeCell ref="E8:G8"/>
    <mergeCell ref="C10:F10"/>
    <mergeCell ref="B4:G4"/>
    <mergeCell ref="C11:E11"/>
    <mergeCell ref="C12:E12"/>
    <mergeCell ref="C14:E14"/>
    <mergeCell ref="C15:E15"/>
    <mergeCell ref="C16:E16"/>
    <mergeCell ref="C13:E13"/>
  </mergeCells>
  <pageMargins left="0.7" right="0.7" top="0.75" bottom="0.75" header="0.3" footer="0.3"/>
  <pageSetup paperSize="9" scale="6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zoomScale="70" zoomScaleNormal="70" workbookViewId="0"/>
  </sheetViews>
  <sheetFormatPr defaultColWidth="15.140625" defaultRowHeight="15" x14ac:dyDescent="0.25"/>
  <cols>
    <col min="1" max="1" width="4.28515625" style="65" customWidth="1"/>
    <col min="2" max="2" width="4" style="65" customWidth="1"/>
    <col min="3" max="3" width="92.42578125" style="65" customWidth="1"/>
    <col min="4" max="4" width="10" style="65" bestFit="1" customWidth="1"/>
    <col min="5" max="5" width="7.28515625" style="65" bestFit="1" customWidth="1"/>
    <col min="6" max="6" width="11.5703125" style="65" bestFit="1" customWidth="1"/>
    <col min="7" max="7" width="9.5703125" style="65" customWidth="1"/>
    <col min="8" max="10" width="23.5703125" style="65" customWidth="1"/>
    <col min="11" max="11" width="7.5703125" style="65" customWidth="1"/>
    <col min="12" max="12" width="32.42578125" style="65" customWidth="1"/>
    <col min="13" max="13" width="11.28515625" style="65" customWidth="1"/>
    <col min="14" max="14" width="13.42578125" style="65" customWidth="1"/>
    <col min="15" max="15" width="16.42578125" style="65" customWidth="1"/>
    <col min="16" max="16" width="17.28515625" style="65" customWidth="1"/>
    <col min="17" max="17" width="14.7109375" style="65" customWidth="1"/>
    <col min="18" max="16384" width="15.140625" style="65"/>
  </cols>
  <sheetData>
    <row r="1" spans="2:15" ht="15" customHeight="1" thickBot="1" x14ac:dyDescent="0.3"/>
    <row r="2" spans="2:15" ht="15" customHeight="1" x14ac:dyDescent="0.25">
      <c r="B2" s="4"/>
      <c r="C2" s="18"/>
      <c r="D2" s="18"/>
      <c r="E2" s="18"/>
      <c r="F2" s="18"/>
      <c r="G2" s="19"/>
      <c r="H2" s="1"/>
      <c r="I2" s="1"/>
      <c r="J2" s="1"/>
    </row>
    <row r="3" spans="2:15" ht="18.75" customHeight="1" x14ac:dyDescent="0.3">
      <c r="B3" s="155" t="s">
        <v>55</v>
      </c>
      <c r="C3" s="156"/>
      <c r="D3" s="156"/>
      <c r="E3" s="156"/>
      <c r="F3" s="156"/>
      <c r="G3" s="157"/>
      <c r="H3" s="1"/>
      <c r="I3" s="1"/>
      <c r="J3" s="1"/>
    </row>
    <row r="4" spans="2:15" ht="20.25" x14ac:dyDescent="0.3">
      <c r="B4" s="155" t="s">
        <v>291</v>
      </c>
      <c r="C4" s="156"/>
      <c r="D4" s="156"/>
      <c r="E4" s="156"/>
      <c r="F4" s="156"/>
      <c r="G4" s="157"/>
      <c r="H4" s="1"/>
      <c r="I4" s="1"/>
      <c r="J4" s="1"/>
    </row>
    <row r="5" spans="2:15" ht="108.75" customHeight="1" x14ac:dyDescent="0.25">
      <c r="B5" s="8"/>
      <c r="C5" s="1"/>
      <c r="D5" s="1"/>
      <c r="E5" s="1"/>
      <c r="F5" s="1"/>
      <c r="G5" s="10"/>
      <c r="H5" s="1"/>
    </row>
    <row r="6" spans="2:15" x14ac:dyDescent="0.25">
      <c r="B6" s="8"/>
      <c r="C6" s="1"/>
      <c r="D6" s="163" t="s">
        <v>17</v>
      </c>
      <c r="E6" s="163"/>
      <c r="F6" s="163"/>
      <c r="G6" s="62"/>
      <c r="H6" s="1"/>
    </row>
    <row r="7" spans="2:15" ht="15" customHeight="1" x14ac:dyDescent="0.25">
      <c r="B7" s="8"/>
      <c r="C7" s="1"/>
      <c r="D7" s="91"/>
      <c r="E7" s="168" t="s">
        <v>12</v>
      </c>
      <c r="F7" s="161"/>
      <c r="G7" s="162"/>
      <c r="H7" s="44"/>
      <c r="I7" s="44"/>
      <c r="J7" s="44"/>
    </row>
    <row r="8" spans="2:15" ht="15" customHeight="1" x14ac:dyDescent="0.25">
      <c r="B8" s="8"/>
      <c r="C8" s="1"/>
      <c r="D8" s="61"/>
      <c r="E8" s="168" t="s">
        <v>13</v>
      </c>
      <c r="F8" s="161"/>
      <c r="G8" s="162"/>
      <c r="H8" s="44"/>
      <c r="I8" s="44"/>
      <c r="J8" s="44"/>
    </row>
    <row r="9" spans="2:15" ht="15" customHeight="1" x14ac:dyDescent="0.25">
      <c r="B9" s="8"/>
      <c r="C9" s="1"/>
      <c r="D9" s="1"/>
      <c r="E9" s="1"/>
      <c r="F9" s="1"/>
      <c r="G9" s="10"/>
      <c r="H9" s="45"/>
      <c r="I9" s="45"/>
      <c r="J9" s="45"/>
    </row>
    <row r="10" spans="2:15" ht="20.25" x14ac:dyDescent="0.3">
      <c r="B10" s="8"/>
      <c r="C10" s="180" t="s">
        <v>60</v>
      </c>
      <c r="D10" s="180"/>
      <c r="E10" s="180"/>
      <c r="F10" s="180"/>
      <c r="G10" s="10"/>
      <c r="H10" s="45"/>
      <c r="J10" s="48"/>
      <c r="K10" s="22"/>
      <c r="L10" s="21"/>
      <c r="M10" s="21"/>
      <c r="N10" s="21"/>
      <c r="O10" s="21"/>
    </row>
    <row r="11" spans="2:15" s="77" customFormat="1" x14ac:dyDescent="0.25">
      <c r="B11" s="8"/>
      <c r="C11" s="172" t="s">
        <v>68</v>
      </c>
      <c r="D11" s="173"/>
      <c r="E11" s="173"/>
      <c r="F11" s="174"/>
      <c r="G11" s="10"/>
      <c r="H11" s="45"/>
      <c r="J11" s="48"/>
      <c r="K11" s="22"/>
      <c r="L11" s="21"/>
      <c r="M11" s="21"/>
      <c r="N11" s="21"/>
      <c r="O11" s="21"/>
    </row>
    <row r="12" spans="2:15" x14ac:dyDescent="0.25">
      <c r="B12" s="8"/>
      <c r="C12" s="179" t="s">
        <v>311</v>
      </c>
      <c r="D12" s="179"/>
      <c r="E12" s="179"/>
      <c r="F12" s="93">
        <f>'Входящие данные'!E11*'Входящие данные'!E12</f>
        <v>23670</v>
      </c>
      <c r="G12" s="10"/>
      <c r="H12" s="45"/>
      <c r="J12" s="50"/>
      <c r="K12" s="21"/>
      <c r="L12" s="21"/>
      <c r="M12" s="21"/>
      <c r="N12" s="21"/>
      <c r="O12" s="21"/>
    </row>
    <row r="13" spans="2:15" s="77" customFormat="1" x14ac:dyDescent="0.25">
      <c r="B13" s="8"/>
      <c r="C13" s="172" t="s">
        <v>69</v>
      </c>
      <c r="D13" s="173"/>
      <c r="E13" s="173"/>
      <c r="F13" s="174"/>
      <c r="G13" s="10"/>
      <c r="H13" s="45"/>
      <c r="J13" s="48"/>
      <c r="K13" s="21"/>
      <c r="L13" s="21"/>
      <c r="M13" s="21"/>
      <c r="N13" s="21"/>
      <c r="O13" s="21"/>
    </row>
    <row r="14" spans="2:15" s="77" customFormat="1" x14ac:dyDescent="0.25">
      <c r="B14" s="8"/>
      <c r="C14" s="179" t="s">
        <v>61</v>
      </c>
      <c r="D14" s="179"/>
      <c r="E14" s="179"/>
      <c r="F14" s="40">
        <f>F16*F17</f>
        <v>20000</v>
      </c>
      <c r="G14" s="89"/>
      <c r="H14" s="45"/>
      <c r="J14" s="48"/>
      <c r="K14" s="21"/>
      <c r="L14" s="21"/>
      <c r="M14" s="21"/>
      <c r="N14" s="21"/>
      <c r="O14" s="21"/>
    </row>
    <row r="15" spans="2:15" s="77" customFormat="1" x14ac:dyDescent="0.25">
      <c r="B15" s="8"/>
      <c r="C15" s="179" t="s">
        <v>62</v>
      </c>
      <c r="D15" s="179"/>
      <c r="E15" s="179"/>
      <c r="F15" s="40">
        <f>F14*30%</f>
        <v>6000</v>
      </c>
      <c r="G15" s="10"/>
      <c r="H15" s="45"/>
      <c r="J15" s="48"/>
      <c r="K15" s="21"/>
      <c r="L15" s="21"/>
      <c r="M15" s="21"/>
      <c r="N15" s="21"/>
      <c r="O15" s="21"/>
    </row>
    <row r="16" spans="2:15" s="77" customFormat="1" x14ac:dyDescent="0.25">
      <c r="B16" s="8"/>
      <c r="C16" s="175" t="s">
        <v>303</v>
      </c>
      <c r="D16" s="176"/>
      <c r="E16" s="177"/>
      <c r="F16" s="93">
        <v>10000</v>
      </c>
      <c r="G16" s="10"/>
      <c r="H16" s="45"/>
      <c r="J16" s="48"/>
      <c r="K16" s="21"/>
      <c r="L16" s="21"/>
      <c r="M16" s="21"/>
      <c r="N16" s="21"/>
      <c r="O16" s="21"/>
    </row>
    <row r="17" spans="2:15" s="77" customFormat="1" x14ac:dyDescent="0.25">
      <c r="B17" s="8"/>
      <c r="C17" s="175" t="s">
        <v>79</v>
      </c>
      <c r="D17" s="176"/>
      <c r="E17" s="177"/>
      <c r="F17" s="93">
        <v>2</v>
      </c>
      <c r="G17" s="10"/>
      <c r="H17" s="45"/>
      <c r="J17" s="48"/>
      <c r="K17" s="21"/>
      <c r="L17" s="21"/>
      <c r="M17" s="21"/>
      <c r="N17" s="21"/>
      <c r="O17" s="21"/>
    </row>
    <row r="18" spans="2:15" s="147" customFormat="1" x14ac:dyDescent="0.25">
      <c r="B18" s="8"/>
      <c r="C18" s="148" t="s">
        <v>304</v>
      </c>
      <c r="D18" s="93">
        <v>12000</v>
      </c>
      <c r="E18" s="93">
        <v>500</v>
      </c>
      <c r="F18" s="151">
        <f>D18*F17+E18*10</f>
        <v>29000</v>
      </c>
      <c r="G18" s="10"/>
      <c r="H18" s="45"/>
      <c r="J18" s="48"/>
      <c r="K18" s="21"/>
      <c r="L18" s="21"/>
      <c r="M18" s="21"/>
      <c r="N18" s="21"/>
      <c r="O18" s="21"/>
    </row>
    <row r="19" spans="2:15" s="77" customFormat="1" x14ac:dyDescent="0.25">
      <c r="B19" s="8"/>
      <c r="C19" s="172" t="s">
        <v>70</v>
      </c>
      <c r="D19" s="173"/>
      <c r="E19" s="173"/>
      <c r="F19" s="174"/>
      <c r="G19" s="10"/>
      <c r="H19" s="45"/>
      <c r="J19" s="48"/>
      <c r="K19" s="21"/>
      <c r="L19" s="21"/>
      <c r="M19" s="21"/>
      <c r="N19" s="21"/>
      <c r="O19" s="21"/>
    </row>
    <row r="20" spans="2:15" s="77" customFormat="1" x14ac:dyDescent="0.25">
      <c r="B20" s="8"/>
      <c r="C20" s="179" t="s">
        <v>309</v>
      </c>
      <c r="D20" s="179"/>
      <c r="E20" s="179"/>
      <c r="F20" s="93">
        <f>AVERAGE(Прибыль_окупаемость!D19:O19)</f>
        <v>47265</v>
      </c>
      <c r="G20" s="10"/>
      <c r="H20" s="23"/>
      <c r="J20" s="48"/>
      <c r="K20" s="21"/>
      <c r="L20" s="21"/>
      <c r="M20" s="21"/>
      <c r="N20" s="21"/>
      <c r="O20" s="21"/>
    </row>
    <row r="21" spans="2:15" s="77" customFormat="1" x14ac:dyDescent="0.25">
      <c r="B21" s="8"/>
      <c r="C21" s="172" t="s">
        <v>71</v>
      </c>
      <c r="D21" s="173"/>
      <c r="E21" s="173"/>
      <c r="F21" s="174"/>
      <c r="G21" s="10"/>
      <c r="H21" s="23"/>
      <c r="J21" s="48"/>
      <c r="K21" s="21"/>
      <c r="L21" s="21"/>
      <c r="M21" s="21"/>
      <c r="N21" s="21"/>
      <c r="O21" s="21"/>
    </row>
    <row r="22" spans="2:15" s="77" customFormat="1" x14ac:dyDescent="0.25">
      <c r="B22" s="8"/>
      <c r="C22" s="179" t="s">
        <v>289</v>
      </c>
      <c r="D22" s="179"/>
      <c r="E22" s="179"/>
      <c r="F22" s="93">
        <v>30000</v>
      </c>
      <c r="G22" s="10"/>
      <c r="H22" s="23"/>
      <c r="J22" s="48"/>
      <c r="K22" s="21"/>
      <c r="L22" s="21"/>
      <c r="M22" s="21"/>
      <c r="N22" s="21"/>
      <c r="O22" s="21"/>
    </row>
    <row r="23" spans="2:15" ht="15.75" customHeight="1" x14ac:dyDescent="0.25">
      <c r="B23" s="8"/>
      <c r="C23" s="178" t="s">
        <v>11</v>
      </c>
      <c r="D23" s="178"/>
      <c r="E23" s="178"/>
      <c r="F23" s="49">
        <f>SUM(F12:F15)+F20+F22</f>
        <v>126935</v>
      </c>
      <c r="G23" s="10"/>
      <c r="H23" s="24"/>
      <c r="J23" s="21"/>
      <c r="K23" s="21"/>
      <c r="L23" s="21"/>
      <c r="M23" s="21"/>
      <c r="N23" s="21"/>
      <c r="O23" s="21"/>
    </row>
    <row r="24" spans="2:15" ht="15" customHeight="1" thickBot="1" x14ac:dyDescent="0.3">
      <c r="B24" s="13"/>
      <c r="C24" s="14"/>
      <c r="D24" s="14"/>
      <c r="E24" s="14"/>
      <c r="F24" s="14"/>
      <c r="G24" s="15"/>
      <c r="H24" s="1"/>
      <c r="I24" s="1"/>
      <c r="J24" s="1"/>
    </row>
    <row r="27" spans="2:15" x14ac:dyDescent="0.25">
      <c r="B27" s="1"/>
      <c r="C27" s="25"/>
      <c r="D27" s="25"/>
      <c r="E27" s="25"/>
      <c r="F27" s="25"/>
      <c r="G27" s="1"/>
    </row>
    <row r="28" spans="2:15" x14ac:dyDescent="0.25">
      <c r="B28" s="1"/>
      <c r="C28" s="25"/>
      <c r="D28" s="25"/>
      <c r="E28" s="25"/>
      <c r="F28" s="25"/>
      <c r="G28" s="1"/>
    </row>
    <row r="29" spans="2:15" x14ac:dyDescent="0.25">
      <c r="B29" s="1"/>
      <c r="C29" s="25"/>
      <c r="D29" s="25"/>
      <c r="E29" s="25"/>
      <c r="F29" s="25"/>
      <c r="G29" s="1"/>
    </row>
    <row r="30" spans="2:15" x14ac:dyDescent="0.25">
      <c r="B30" s="1"/>
      <c r="C30" s="25"/>
      <c r="D30" s="25"/>
      <c r="E30" s="25"/>
      <c r="F30" s="25"/>
      <c r="G30" s="1"/>
    </row>
    <row r="31" spans="2:15" x14ac:dyDescent="0.25">
      <c r="B31" s="1"/>
      <c r="C31" s="25"/>
      <c r="D31" s="25"/>
      <c r="E31" s="25"/>
      <c r="F31" s="25"/>
      <c r="G31" s="1"/>
    </row>
    <row r="32" spans="2:15" x14ac:dyDescent="0.25">
      <c r="B32" s="1"/>
      <c r="C32" s="25"/>
      <c r="D32" s="25"/>
      <c r="E32" s="25"/>
      <c r="F32" s="25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</sheetData>
  <mergeCells count="18">
    <mergeCell ref="B3:G3"/>
    <mergeCell ref="B4:G4"/>
    <mergeCell ref="C14:E14"/>
    <mergeCell ref="C15:E15"/>
    <mergeCell ref="C17:E17"/>
    <mergeCell ref="C10:F10"/>
    <mergeCell ref="C12:E12"/>
    <mergeCell ref="E7:G7"/>
    <mergeCell ref="E8:G8"/>
    <mergeCell ref="D6:F6"/>
    <mergeCell ref="C11:F11"/>
    <mergeCell ref="C13:F13"/>
    <mergeCell ref="C19:F19"/>
    <mergeCell ref="C21:F21"/>
    <mergeCell ref="C16:E16"/>
    <mergeCell ref="C23:E23"/>
    <mergeCell ref="C20:E20"/>
    <mergeCell ref="C22:E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zoomScale="70" zoomScaleNormal="70" workbookViewId="0"/>
  </sheetViews>
  <sheetFormatPr defaultColWidth="15.140625" defaultRowHeight="15" customHeight="1" outlineLevelRow="3" x14ac:dyDescent="0.25"/>
  <cols>
    <col min="1" max="2" width="7.5703125" style="41" customWidth="1"/>
    <col min="3" max="3" width="51.140625" style="41" customWidth="1"/>
    <col min="4" max="4" width="13.42578125" style="42" bestFit="1" customWidth="1"/>
    <col min="5" max="28" width="13.42578125" style="41" bestFit="1" customWidth="1"/>
    <col min="29" max="29" width="8.140625" style="41" customWidth="1"/>
    <col min="30" max="16384" width="15.140625" style="41"/>
  </cols>
  <sheetData>
    <row r="1" spans="2:29" ht="15" customHeight="1" thickBot="1" x14ac:dyDescent="0.3"/>
    <row r="2" spans="2:29" ht="20.25" customHeight="1" x14ac:dyDescent="0.25"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</row>
    <row r="3" spans="2:29" ht="20.25" x14ac:dyDescent="0.3">
      <c r="B3" s="155" t="s">
        <v>16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7"/>
    </row>
    <row r="4" spans="2:29" ht="20.25" x14ac:dyDescent="0.3">
      <c r="B4" s="155" t="s">
        <v>291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7"/>
    </row>
    <row r="5" spans="2:29" ht="15" customHeight="1" x14ac:dyDescent="0.25">
      <c r="B5" s="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10"/>
    </row>
    <row r="6" spans="2:29" ht="15" customHeight="1" x14ac:dyDescent="0.25">
      <c r="B6" s="8"/>
      <c r="C6" s="1"/>
      <c r="D6" s="1"/>
      <c r="E6" s="1"/>
      <c r="F6" s="1"/>
      <c r="G6" s="1"/>
      <c r="H6" s="184" t="s">
        <v>17</v>
      </c>
      <c r="I6" s="184"/>
      <c r="J6" s="184"/>
      <c r="K6" s="52"/>
      <c r="L6" s="52"/>
      <c r="M6" s="52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10"/>
    </row>
    <row r="7" spans="2:29" ht="15" customHeight="1" x14ac:dyDescent="0.25">
      <c r="B7" s="8"/>
      <c r="C7" s="1"/>
      <c r="D7" s="1"/>
      <c r="E7" s="1"/>
      <c r="F7" s="1"/>
      <c r="G7" s="1"/>
      <c r="H7" s="91"/>
      <c r="I7" s="161" t="s">
        <v>12</v>
      </c>
      <c r="J7" s="161"/>
      <c r="K7" s="161"/>
      <c r="L7" s="44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10"/>
    </row>
    <row r="8" spans="2:29" ht="15" customHeight="1" x14ac:dyDescent="0.25">
      <c r="B8" s="8"/>
      <c r="C8" s="1"/>
      <c r="D8" s="1"/>
      <c r="E8" s="1"/>
      <c r="F8" s="1"/>
      <c r="G8" s="1"/>
      <c r="H8" s="61"/>
      <c r="I8" s="161" t="s">
        <v>13</v>
      </c>
      <c r="J8" s="161"/>
      <c r="K8" s="16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0"/>
    </row>
    <row r="9" spans="2:29" ht="53.25" customHeight="1" x14ac:dyDescent="0.25">
      <c r="B9" s="8"/>
      <c r="C9" s="185" t="s">
        <v>19</v>
      </c>
      <c r="D9" s="185"/>
      <c r="E9" s="185"/>
      <c r="F9" s="185"/>
      <c r="G9" s="185"/>
      <c r="H9" s="185"/>
      <c r="I9" s="185"/>
      <c r="J9" s="185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10"/>
    </row>
    <row r="10" spans="2:29" x14ac:dyDescent="0.25">
      <c r="B10" s="8"/>
      <c r="C10" s="67"/>
      <c r="D10" s="67"/>
      <c r="E10" s="67"/>
      <c r="F10" s="67"/>
      <c r="G10" s="67"/>
      <c r="H10" s="67"/>
      <c r="I10" s="67"/>
      <c r="J10" s="67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10"/>
    </row>
    <row r="11" spans="2:29" x14ac:dyDescent="0.25">
      <c r="B11" s="8"/>
      <c r="C11" s="183" t="s">
        <v>46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0"/>
    </row>
    <row r="12" spans="2:29" s="42" customFormat="1" ht="15" customHeight="1" x14ac:dyDescent="0.25">
      <c r="B12" s="8"/>
      <c r="C12" s="64"/>
      <c r="D12" s="64" t="s">
        <v>47</v>
      </c>
      <c r="E12" s="181" t="s">
        <v>72</v>
      </c>
      <c r="F12" s="182"/>
      <c r="G12" s="182"/>
      <c r="H12" s="81"/>
      <c r="I12" s="81"/>
      <c r="J12" s="63"/>
      <c r="K12" s="81"/>
      <c r="L12" s="81"/>
      <c r="M12" s="81"/>
      <c r="N12" s="81"/>
      <c r="O12" s="81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10"/>
    </row>
    <row r="13" spans="2:29" s="42" customFormat="1" ht="15" customHeight="1" outlineLevel="1" x14ac:dyDescent="0.25">
      <c r="B13" s="8"/>
      <c r="C13" s="64"/>
      <c r="D13" s="64">
        <v>1</v>
      </c>
      <c r="E13" s="181" t="s">
        <v>48</v>
      </c>
      <c r="F13" s="182"/>
      <c r="G13" s="182"/>
      <c r="H13" s="81"/>
      <c r="I13" s="81"/>
      <c r="J13" s="82"/>
      <c r="K13" s="81"/>
      <c r="L13" s="81"/>
      <c r="M13" s="81"/>
      <c r="N13" s="81"/>
      <c r="O13" s="81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10"/>
    </row>
    <row r="14" spans="2:29" s="42" customFormat="1" ht="15" customHeight="1" outlineLevel="1" x14ac:dyDescent="0.25">
      <c r="B14" s="8"/>
      <c r="C14" s="64"/>
      <c r="D14" s="64">
        <v>2</v>
      </c>
      <c r="E14" s="181" t="s">
        <v>286</v>
      </c>
      <c r="F14" s="182"/>
      <c r="G14" s="182"/>
      <c r="H14" s="81"/>
      <c r="I14" s="81"/>
      <c r="J14" s="82"/>
      <c r="K14" s="81"/>
      <c r="L14" s="81"/>
      <c r="M14" s="81"/>
      <c r="N14" s="81"/>
      <c r="O14" s="8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10"/>
    </row>
    <row r="15" spans="2:29" s="42" customFormat="1" ht="15" customHeight="1" outlineLevel="1" x14ac:dyDescent="0.25">
      <c r="B15" s="8"/>
      <c r="C15" s="64"/>
      <c r="D15" s="64">
        <v>3</v>
      </c>
      <c r="E15" s="181" t="s">
        <v>49</v>
      </c>
      <c r="F15" s="182"/>
      <c r="G15" s="182"/>
      <c r="H15" s="81"/>
      <c r="I15" s="81"/>
      <c r="J15" s="82"/>
      <c r="K15" s="81"/>
      <c r="L15" s="81"/>
      <c r="M15" s="81"/>
      <c r="N15" s="81"/>
      <c r="O15" s="81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10"/>
    </row>
    <row r="16" spans="2:29" s="42" customFormat="1" ht="15" customHeight="1" outlineLevel="1" x14ac:dyDescent="0.25">
      <c r="B16" s="8"/>
      <c r="C16" s="64"/>
      <c r="D16" s="64">
        <v>4</v>
      </c>
      <c r="E16" s="181" t="s">
        <v>50</v>
      </c>
      <c r="F16" s="182"/>
      <c r="G16" s="182"/>
      <c r="H16" s="81"/>
      <c r="I16" s="81"/>
      <c r="J16" s="82"/>
      <c r="K16" s="81"/>
      <c r="L16" s="81"/>
      <c r="M16" s="81"/>
      <c r="N16" s="81"/>
      <c r="O16" s="81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10"/>
    </row>
    <row r="17" spans="1:30" s="42" customFormat="1" ht="15" customHeight="1" outlineLevel="1" x14ac:dyDescent="0.25">
      <c r="B17" s="8"/>
      <c r="C17" s="64"/>
      <c r="D17" s="64">
        <v>5</v>
      </c>
      <c r="E17" s="181" t="s">
        <v>51</v>
      </c>
      <c r="F17" s="182"/>
      <c r="G17" s="182"/>
      <c r="H17" s="81"/>
      <c r="I17" s="81"/>
      <c r="J17" s="82"/>
      <c r="K17" s="81"/>
      <c r="L17" s="81"/>
      <c r="M17" s="81"/>
      <c r="N17" s="81"/>
      <c r="O17" s="8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10"/>
    </row>
    <row r="18" spans="1:30" s="42" customFormat="1" outlineLevel="1" x14ac:dyDescent="0.25">
      <c r="B18" s="8"/>
      <c r="C18" s="64"/>
      <c r="D18" s="64">
        <v>6</v>
      </c>
      <c r="E18" s="181" t="s">
        <v>53</v>
      </c>
      <c r="F18" s="182"/>
      <c r="G18" s="182"/>
      <c r="H18" s="81"/>
      <c r="I18" s="81"/>
      <c r="J18" s="82"/>
      <c r="K18" s="81"/>
      <c r="L18" s="81"/>
      <c r="M18" s="81"/>
      <c r="N18" s="81"/>
      <c r="O18" s="81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10"/>
    </row>
    <row r="19" spans="1:30" s="42" customFormat="1" ht="15" customHeight="1" outlineLevel="1" x14ac:dyDescent="0.25">
      <c r="B19" s="8"/>
      <c r="C19" s="64"/>
      <c r="D19" s="64">
        <v>7</v>
      </c>
      <c r="E19" s="181" t="s">
        <v>54</v>
      </c>
      <c r="F19" s="182"/>
      <c r="G19" s="182"/>
      <c r="H19" s="81"/>
      <c r="I19" s="81"/>
      <c r="J19" s="82"/>
      <c r="K19" s="81"/>
      <c r="L19" s="81"/>
      <c r="M19" s="81"/>
      <c r="N19" s="81"/>
      <c r="O19" s="81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10"/>
    </row>
    <row r="20" spans="1:30" s="42" customFormat="1" ht="15" customHeight="1" outlineLevel="1" x14ac:dyDescent="0.25">
      <c r="B20" s="8"/>
      <c r="C20" s="64"/>
      <c r="D20" s="64">
        <v>8</v>
      </c>
      <c r="E20" s="181" t="s">
        <v>52</v>
      </c>
      <c r="F20" s="182"/>
      <c r="G20" s="182"/>
      <c r="H20" s="81"/>
      <c r="I20" s="81"/>
      <c r="J20" s="82"/>
      <c r="K20" s="81"/>
      <c r="L20" s="81"/>
      <c r="M20" s="81"/>
      <c r="N20" s="81"/>
      <c r="O20" s="81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10"/>
    </row>
    <row r="21" spans="1:30" s="42" customFormat="1" x14ac:dyDescent="0.25">
      <c r="B21" s="8"/>
      <c r="C21" s="143" t="s">
        <v>63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  <c r="AC21" s="10"/>
    </row>
    <row r="22" spans="1:30" outlineLevel="1" x14ac:dyDescent="0.25">
      <c r="B22" s="8"/>
      <c r="C22" s="68" t="s">
        <v>57</v>
      </c>
      <c r="D22" s="69"/>
      <c r="E22" s="124">
        <v>0.5</v>
      </c>
      <c r="F22" s="124">
        <v>0.7</v>
      </c>
      <c r="G22" s="124">
        <v>0.9</v>
      </c>
      <c r="H22" s="124">
        <v>1</v>
      </c>
      <c r="I22" s="124">
        <v>1</v>
      </c>
      <c r="J22" s="124">
        <v>1</v>
      </c>
      <c r="K22" s="124">
        <v>1</v>
      </c>
      <c r="L22" s="124">
        <v>1</v>
      </c>
      <c r="M22" s="124">
        <v>1</v>
      </c>
      <c r="N22" s="124">
        <v>1</v>
      </c>
      <c r="O22" s="124">
        <v>1</v>
      </c>
      <c r="P22" s="124">
        <v>1</v>
      </c>
      <c r="Q22" s="124">
        <v>1</v>
      </c>
      <c r="R22" s="124">
        <v>1</v>
      </c>
      <c r="S22" s="124">
        <v>1</v>
      </c>
      <c r="T22" s="124">
        <v>1</v>
      </c>
      <c r="U22" s="124">
        <v>1</v>
      </c>
      <c r="V22" s="124">
        <v>1</v>
      </c>
      <c r="W22" s="124">
        <v>1</v>
      </c>
      <c r="X22" s="124">
        <v>1</v>
      </c>
      <c r="Y22" s="124">
        <v>1</v>
      </c>
      <c r="Z22" s="124">
        <v>1</v>
      </c>
      <c r="AA22" s="124">
        <v>1</v>
      </c>
      <c r="AB22" s="124">
        <v>1</v>
      </c>
      <c r="AC22" s="10"/>
    </row>
    <row r="23" spans="1:30" s="42" customFormat="1" outlineLevel="1" x14ac:dyDescent="0.25">
      <c r="B23" s="8"/>
      <c r="C23" s="68" t="s">
        <v>58</v>
      </c>
      <c r="D23" s="69"/>
      <c r="E23" s="124">
        <v>0.7</v>
      </c>
      <c r="F23" s="124">
        <v>1</v>
      </c>
      <c r="G23" s="124">
        <v>1</v>
      </c>
      <c r="H23" s="124">
        <v>1</v>
      </c>
      <c r="I23" s="124">
        <v>0.85</v>
      </c>
      <c r="J23" s="124">
        <v>1</v>
      </c>
      <c r="K23" s="124">
        <v>1</v>
      </c>
      <c r="L23" s="124">
        <v>1</v>
      </c>
      <c r="M23" s="124">
        <v>1</v>
      </c>
      <c r="N23" s="124">
        <v>1</v>
      </c>
      <c r="O23" s="124">
        <v>1</v>
      </c>
      <c r="P23" s="124">
        <v>1</v>
      </c>
      <c r="Q23" s="124">
        <v>0.7</v>
      </c>
      <c r="R23" s="124">
        <v>1</v>
      </c>
      <c r="S23" s="124">
        <v>1</v>
      </c>
      <c r="T23" s="124">
        <v>1</v>
      </c>
      <c r="U23" s="124">
        <v>0.85</v>
      </c>
      <c r="V23" s="124">
        <v>1</v>
      </c>
      <c r="W23" s="124">
        <v>1</v>
      </c>
      <c r="X23" s="124">
        <v>1</v>
      </c>
      <c r="Y23" s="124">
        <v>1</v>
      </c>
      <c r="Z23" s="124">
        <v>1</v>
      </c>
      <c r="AA23" s="124">
        <v>1</v>
      </c>
      <c r="AB23" s="124">
        <v>1</v>
      </c>
      <c r="AC23" s="10"/>
    </row>
    <row r="24" spans="1:30" outlineLevel="1" x14ac:dyDescent="0.25">
      <c r="B24" s="8"/>
      <c r="C24" s="70" t="s">
        <v>14</v>
      </c>
      <c r="D24" s="69"/>
      <c r="E24" s="84" t="s">
        <v>0</v>
      </c>
      <c r="F24" s="84" t="s">
        <v>1</v>
      </c>
      <c r="G24" s="84" t="s">
        <v>2</v>
      </c>
      <c r="H24" s="84" t="s">
        <v>3</v>
      </c>
      <c r="I24" s="84" t="s">
        <v>4</v>
      </c>
      <c r="J24" s="84" t="s">
        <v>20</v>
      </c>
      <c r="K24" s="84" t="s">
        <v>21</v>
      </c>
      <c r="L24" s="84" t="s">
        <v>22</v>
      </c>
      <c r="M24" s="84" t="s">
        <v>23</v>
      </c>
      <c r="N24" s="84" t="s">
        <v>24</v>
      </c>
      <c r="O24" s="84" t="s">
        <v>27</v>
      </c>
      <c r="P24" s="84" t="s">
        <v>28</v>
      </c>
      <c r="Q24" s="84" t="s">
        <v>31</v>
      </c>
      <c r="R24" s="84" t="s">
        <v>32</v>
      </c>
      <c r="S24" s="84" t="s">
        <v>33</v>
      </c>
      <c r="T24" s="84" t="s">
        <v>34</v>
      </c>
      <c r="U24" s="84" t="s">
        <v>35</v>
      </c>
      <c r="V24" s="84" t="s">
        <v>29</v>
      </c>
      <c r="W24" s="84" t="s">
        <v>36</v>
      </c>
      <c r="X24" s="84" t="s">
        <v>37</v>
      </c>
      <c r="Y24" s="84" t="s">
        <v>38</v>
      </c>
      <c r="Z24" s="84" t="s">
        <v>39</v>
      </c>
      <c r="AA24" s="84" t="s">
        <v>40</v>
      </c>
      <c r="AB24" s="84" t="s">
        <v>30</v>
      </c>
      <c r="AC24" s="10"/>
    </row>
    <row r="25" spans="1:30" outlineLevel="1" x14ac:dyDescent="0.25">
      <c r="B25" s="8"/>
      <c r="C25" s="137" t="s">
        <v>80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10"/>
    </row>
    <row r="26" spans="1:30" s="123" customFormat="1" outlineLevel="2" x14ac:dyDescent="0.25">
      <c r="A26" s="1"/>
      <c r="B26" s="8"/>
      <c r="C26" s="74" t="s">
        <v>294</v>
      </c>
      <c r="D26" s="150">
        <v>7000</v>
      </c>
      <c r="E26" s="140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2"/>
      <c r="AC26" s="10"/>
      <c r="AD26" s="1"/>
    </row>
    <row r="27" spans="1:30" s="123" customFormat="1" outlineLevel="2" x14ac:dyDescent="0.25">
      <c r="A27" s="1"/>
      <c r="B27" s="8"/>
      <c r="C27" s="74" t="s">
        <v>297</v>
      </c>
      <c r="D27" s="71" t="s">
        <v>296</v>
      </c>
      <c r="E27" s="71">
        <v>7</v>
      </c>
      <c r="F27" s="71">
        <v>10</v>
      </c>
      <c r="G27" s="71">
        <v>15</v>
      </c>
      <c r="H27" s="71">
        <f>ROUND($G$27*H23,0)</f>
        <v>15</v>
      </c>
      <c r="I27" s="71">
        <f t="shared" ref="I27:AB27" si="0">ROUND($G$27*I23,0)</f>
        <v>13</v>
      </c>
      <c r="J27" s="71">
        <f t="shared" si="0"/>
        <v>15</v>
      </c>
      <c r="K27" s="71">
        <f t="shared" si="0"/>
        <v>15</v>
      </c>
      <c r="L27" s="71">
        <f t="shared" si="0"/>
        <v>15</v>
      </c>
      <c r="M27" s="71">
        <f t="shared" si="0"/>
        <v>15</v>
      </c>
      <c r="N27" s="71">
        <f t="shared" si="0"/>
        <v>15</v>
      </c>
      <c r="O27" s="71">
        <f t="shared" si="0"/>
        <v>15</v>
      </c>
      <c r="P27" s="71">
        <f t="shared" si="0"/>
        <v>15</v>
      </c>
      <c r="Q27" s="71">
        <f t="shared" si="0"/>
        <v>11</v>
      </c>
      <c r="R27" s="71">
        <f t="shared" si="0"/>
        <v>15</v>
      </c>
      <c r="S27" s="71">
        <f t="shared" si="0"/>
        <v>15</v>
      </c>
      <c r="T27" s="71">
        <f t="shared" si="0"/>
        <v>15</v>
      </c>
      <c r="U27" s="71">
        <f t="shared" si="0"/>
        <v>13</v>
      </c>
      <c r="V27" s="71">
        <f t="shared" si="0"/>
        <v>15</v>
      </c>
      <c r="W27" s="71">
        <f t="shared" si="0"/>
        <v>15</v>
      </c>
      <c r="X27" s="71">
        <f t="shared" si="0"/>
        <v>15</v>
      </c>
      <c r="Y27" s="71">
        <f t="shared" si="0"/>
        <v>15</v>
      </c>
      <c r="Z27" s="71">
        <f t="shared" si="0"/>
        <v>15</v>
      </c>
      <c r="AA27" s="71">
        <f t="shared" si="0"/>
        <v>15</v>
      </c>
      <c r="AB27" s="71">
        <f t="shared" si="0"/>
        <v>15</v>
      </c>
      <c r="AC27" s="10"/>
      <c r="AD27" s="1"/>
    </row>
    <row r="28" spans="1:30" s="123" customFormat="1" outlineLevel="2" x14ac:dyDescent="0.25">
      <c r="A28" s="1"/>
      <c r="B28" s="8"/>
      <c r="C28" s="74" t="s">
        <v>298</v>
      </c>
      <c r="D28" s="71" t="s">
        <v>296</v>
      </c>
      <c r="E28" s="71">
        <f>E27</f>
        <v>7</v>
      </c>
      <c r="F28" s="71">
        <f>E28+F27</f>
        <v>17</v>
      </c>
      <c r="G28" s="71">
        <f>F28+G27</f>
        <v>32</v>
      </c>
      <c r="H28" s="71">
        <f>G28+H27</f>
        <v>47</v>
      </c>
      <c r="I28" s="71">
        <f t="shared" ref="I28:P28" si="1">H28+I27</f>
        <v>60</v>
      </c>
      <c r="J28" s="71">
        <f t="shared" si="1"/>
        <v>75</v>
      </c>
      <c r="K28" s="71">
        <f t="shared" si="1"/>
        <v>90</v>
      </c>
      <c r="L28" s="71">
        <f t="shared" si="1"/>
        <v>105</v>
      </c>
      <c r="M28" s="71">
        <f t="shared" si="1"/>
        <v>120</v>
      </c>
      <c r="N28" s="71">
        <f t="shared" si="1"/>
        <v>135</v>
      </c>
      <c r="O28" s="71">
        <f t="shared" si="1"/>
        <v>150</v>
      </c>
      <c r="P28" s="71">
        <f t="shared" si="1"/>
        <v>165</v>
      </c>
      <c r="Q28" s="71">
        <f>P28+Q27-E27</f>
        <v>169</v>
      </c>
      <c r="R28" s="71">
        <f t="shared" ref="R28:AB28" si="2">Q28+R27-F27</f>
        <v>174</v>
      </c>
      <c r="S28" s="71">
        <f t="shared" si="2"/>
        <v>174</v>
      </c>
      <c r="T28" s="71">
        <f t="shared" si="2"/>
        <v>174</v>
      </c>
      <c r="U28" s="71">
        <f t="shared" si="2"/>
        <v>174</v>
      </c>
      <c r="V28" s="71">
        <f t="shared" si="2"/>
        <v>174</v>
      </c>
      <c r="W28" s="71">
        <f t="shared" si="2"/>
        <v>174</v>
      </c>
      <c r="X28" s="71">
        <f t="shared" si="2"/>
        <v>174</v>
      </c>
      <c r="Y28" s="71">
        <f t="shared" si="2"/>
        <v>174</v>
      </c>
      <c r="Z28" s="71">
        <f t="shared" si="2"/>
        <v>174</v>
      </c>
      <c r="AA28" s="71">
        <f t="shared" si="2"/>
        <v>174</v>
      </c>
      <c r="AB28" s="71">
        <f t="shared" si="2"/>
        <v>174</v>
      </c>
      <c r="AC28" s="10"/>
      <c r="AD28" s="1"/>
    </row>
    <row r="29" spans="1:30" outlineLevel="2" x14ac:dyDescent="0.25">
      <c r="A29" s="1"/>
      <c r="B29" s="8"/>
      <c r="C29" s="74" t="s">
        <v>64</v>
      </c>
      <c r="D29" s="71" t="s">
        <v>296</v>
      </c>
      <c r="E29" s="71">
        <f t="shared" ref="E29:AB29" si="3">$D$26*E28</f>
        <v>49000</v>
      </c>
      <c r="F29" s="71">
        <f t="shared" si="3"/>
        <v>119000</v>
      </c>
      <c r="G29" s="71">
        <f t="shared" si="3"/>
        <v>224000</v>
      </c>
      <c r="H29" s="71">
        <f t="shared" si="3"/>
        <v>329000</v>
      </c>
      <c r="I29" s="71">
        <f t="shared" si="3"/>
        <v>420000</v>
      </c>
      <c r="J29" s="71">
        <f t="shared" si="3"/>
        <v>525000</v>
      </c>
      <c r="K29" s="71">
        <f t="shared" si="3"/>
        <v>630000</v>
      </c>
      <c r="L29" s="71">
        <f t="shared" si="3"/>
        <v>735000</v>
      </c>
      <c r="M29" s="71">
        <f t="shared" si="3"/>
        <v>840000</v>
      </c>
      <c r="N29" s="71">
        <f t="shared" si="3"/>
        <v>945000</v>
      </c>
      <c r="O29" s="71">
        <f t="shared" si="3"/>
        <v>1050000</v>
      </c>
      <c r="P29" s="71">
        <f t="shared" si="3"/>
        <v>1155000</v>
      </c>
      <c r="Q29" s="71">
        <f t="shared" si="3"/>
        <v>1183000</v>
      </c>
      <c r="R29" s="71">
        <f t="shared" si="3"/>
        <v>1218000</v>
      </c>
      <c r="S29" s="71">
        <f t="shared" si="3"/>
        <v>1218000</v>
      </c>
      <c r="T29" s="71">
        <f t="shared" si="3"/>
        <v>1218000</v>
      </c>
      <c r="U29" s="71">
        <f t="shared" si="3"/>
        <v>1218000</v>
      </c>
      <c r="V29" s="71">
        <f t="shared" si="3"/>
        <v>1218000</v>
      </c>
      <c r="W29" s="71">
        <f t="shared" si="3"/>
        <v>1218000</v>
      </c>
      <c r="X29" s="71">
        <f t="shared" si="3"/>
        <v>1218000</v>
      </c>
      <c r="Y29" s="71">
        <f t="shared" si="3"/>
        <v>1218000</v>
      </c>
      <c r="Z29" s="71">
        <f t="shared" si="3"/>
        <v>1218000</v>
      </c>
      <c r="AA29" s="71">
        <f t="shared" si="3"/>
        <v>1218000</v>
      </c>
      <c r="AB29" s="71">
        <f t="shared" si="3"/>
        <v>1218000</v>
      </c>
      <c r="AC29" s="10"/>
      <c r="AD29" s="1"/>
    </row>
    <row r="30" spans="1:30" outlineLevel="2" x14ac:dyDescent="0.25">
      <c r="B30" s="8"/>
      <c r="C30" s="74" t="s">
        <v>295</v>
      </c>
      <c r="D30" s="90">
        <v>0.2</v>
      </c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2"/>
      <c r="AC30" s="10"/>
    </row>
    <row r="31" spans="1:30" ht="15" customHeight="1" outlineLevel="1" x14ac:dyDescent="0.25">
      <c r="A31" s="1"/>
      <c r="B31" s="8"/>
      <c r="C31" s="137" t="s">
        <v>81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0"/>
      <c r="AD31" s="1"/>
    </row>
    <row r="32" spans="1:30" ht="15" customHeight="1" outlineLevel="2" x14ac:dyDescent="0.25">
      <c r="A32" s="1"/>
      <c r="B32" s="8"/>
      <c r="C32" s="74" t="s">
        <v>294</v>
      </c>
      <c r="D32" s="150">
        <v>80000</v>
      </c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2"/>
      <c r="AC32" s="10"/>
      <c r="AD32" s="1"/>
    </row>
    <row r="33" spans="2:29" ht="15" customHeight="1" outlineLevel="2" x14ac:dyDescent="0.25">
      <c r="B33" s="8"/>
      <c r="C33" s="74" t="s">
        <v>297</v>
      </c>
      <c r="D33" s="71" t="s">
        <v>296</v>
      </c>
      <c r="E33" s="71">
        <v>3</v>
      </c>
      <c r="F33" s="71">
        <v>5</v>
      </c>
      <c r="G33" s="71">
        <v>7</v>
      </c>
      <c r="H33" s="71">
        <f>ROUND($G$33*H23,0)</f>
        <v>7</v>
      </c>
      <c r="I33" s="71">
        <v>7</v>
      </c>
      <c r="J33" s="71">
        <v>7</v>
      </c>
      <c r="K33" s="71">
        <v>10</v>
      </c>
      <c r="L33" s="71">
        <v>10</v>
      </c>
      <c r="M33" s="71">
        <v>10</v>
      </c>
      <c r="N33" s="71">
        <v>10</v>
      </c>
      <c r="O33" s="71">
        <v>10</v>
      </c>
      <c r="P33" s="71">
        <v>10</v>
      </c>
      <c r="Q33" s="71">
        <v>15</v>
      </c>
      <c r="R33" s="71">
        <v>15</v>
      </c>
      <c r="S33" s="71">
        <v>15</v>
      </c>
      <c r="T33" s="71">
        <v>15</v>
      </c>
      <c r="U33" s="71">
        <v>15</v>
      </c>
      <c r="V33" s="71">
        <v>15</v>
      </c>
      <c r="W33" s="71">
        <v>15</v>
      </c>
      <c r="X33" s="71">
        <v>15</v>
      </c>
      <c r="Y33" s="71">
        <v>15</v>
      </c>
      <c r="Z33" s="71">
        <v>15</v>
      </c>
      <c r="AA33" s="71">
        <v>15</v>
      </c>
      <c r="AB33" s="71">
        <v>15</v>
      </c>
      <c r="AC33" s="10"/>
    </row>
    <row r="34" spans="2:29" s="123" customFormat="1" ht="15" customHeight="1" outlineLevel="2" x14ac:dyDescent="0.25">
      <c r="B34" s="8"/>
      <c r="C34" s="74" t="s">
        <v>299</v>
      </c>
      <c r="D34" s="71" t="s">
        <v>296</v>
      </c>
      <c r="E34" s="71">
        <v>0</v>
      </c>
      <c r="F34" s="71">
        <v>0</v>
      </c>
      <c r="G34" s="71">
        <f>$D$32*3*E33</f>
        <v>720000</v>
      </c>
      <c r="H34" s="71">
        <f>$D$32*3*F33</f>
        <v>1200000</v>
      </c>
      <c r="I34" s="71">
        <f t="shared" ref="I34:AB34" si="4">$D$32*3*G33</f>
        <v>1680000</v>
      </c>
      <c r="J34" s="71">
        <f t="shared" si="4"/>
        <v>1680000</v>
      </c>
      <c r="K34" s="71">
        <f t="shared" si="4"/>
        <v>1680000</v>
      </c>
      <c r="L34" s="71">
        <f t="shared" si="4"/>
        <v>1680000</v>
      </c>
      <c r="M34" s="71">
        <f t="shared" si="4"/>
        <v>2400000</v>
      </c>
      <c r="N34" s="71">
        <f t="shared" si="4"/>
        <v>2400000</v>
      </c>
      <c r="O34" s="71">
        <f t="shared" si="4"/>
        <v>2400000</v>
      </c>
      <c r="P34" s="71">
        <f t="shared" si="4"/>
        <v>2400000</v>
      </c>
      <c r="Q34" s="71">
        <f t="shared" si="4"/>
        <v>2400000</v>
      </c>
      <c r="R34" s="71">
        <f t="shared" si="4"/>
        <v>2400000</v>
      </c>
      <c r="S34" s="71">
        <f t="shared" si="4"/>
        <v>3600000</v>
      </c>
      <c r="T34" s="71">
        <f t="shared" si="4"/>
        <v>3600000</v>
      </c>
      <c r="U34" s="71">
        <f t="shared" si="4"/>
        <v>3600000</v>
      </c>
      <c r="V34" s="71">
        <f t="shared" si="4"/>
        <v>3600000</v>
      </c>
      <c r="W34" s="71">
        <f t="shared" si="4"/>
        <v>3600000</v>
      </c>
      <c r="X34" s="71">
        <f t="shared" si="4"/>
        <v>3600000</v>
      </c>
      <c r="Y34" s="71">
        <f t="shared" si="4"/>
        <v>3600000</v>
      </c>
      <c r="Z34" s="71">
        <f t="shared" si="4"/>
        <v>3600000</v>
      </c>
      <c r="AA34" s="71">
        <f t="shared" si="4"/>
        <v>3600000</v>
      </c>
      <c r="AB34" s="71">
        <f t="shared" si="4"/>
        <v>3600000</v>
      </c>
      <c r="AC34" s="10"/>
    </row>
    <row r="35" spans="2:29" s="123" customFormat="1" ht="15" customHeight="1" outlineLevel="2" x14ac:dyDescent="0.25">
      <c r="B35" s="8"/>
      <c r="C35" s="149" t="s">
        <v>300</v>
      </c>
      <c r="D35" s="90">
        <v>0.55000000000000004</v>
      </c>
      <c r="E35" s="71">
        <v>0</v>
      </c>
      <c r="F35" s="71">
        <v>0</v>
      </c>
      <c r="G35" s="71">
        <f t="shared" ref="G35:AB35" si="5">$D$35*G34</f>
        <v>396000.00000000006</v>
      </c>
      <c r="H35" s="71">
        <f t="shared" si="5"/>
        <v>660000</v>
      </c>
      <c r="I35" s="71">
        <f t="shared" si="5"/>
        <v>924000.00000000012</v>
      </c>
      <c r="J35" s="71">
        <f t="shared" si="5"/>
        <v>924000.00000000012</v>
      </c>
      <c r="K35" s="71">
        <f t="shared" si="5"/>
        <v>924000.00000000012</v>
      </c>
      <c r="L35" s="71">
        <f t="shared" si="5"/>
        <v>924000.00000000012</v>
      </c>
      <c r="M35" s="71">
        <f t="shared" si="5"/>
        <v>1320000</v>
      </c>
      <c r="N35" s="71">
        <f t="shared" si="5"/>
        <v>1320000</v>
      </c>
      <c r="O35" s="71">
        <f t="shared" si="5"/>
        <v>1320000</v>
      </c>
      <c r="P35" s="71">
        <f t="shared" si="5"/>
        <v>1320000</v>
      </c>
      <c r="Q35" s="71">
        <f t="shared" si="5"/>
        <v>1320000</v>
      </c>
      <c r="R35" s="71">
        <f t="shared" si="5"/>
        <v>1320000</v>
      </c>
      <c r="S35" s="71">
        <f t="shared" si="5"/>
        <v>1980000.0000000002</v>
      </c>
      <c r="T35" s="71">
        <f t="shared" si="5"/>
        <v>1980000.0000000002</v>
      </c>
      <c r="U35" s="71">
        <f t="shared" si="5"/>
        <v>1980000.0000000002</v>
      </c>
      <c r="V35" s="71">
        <f t="shared" si="5"/>
        <v>1980000.0000000002</v>
      </c>
      <c r="W35" s="71">
        <f t="shared" si="5"/>
        <v>1980000.0000000002</v>
      </c>
      <c r="X35" s="71">
        <f t="shared" si="5"/>
        <v>1980000.0000000002</v>
      </c>
      <c r="Y35" s="71">
        <f t="shared" si="5"/>
        <v>1980000.0000000002</v>
      </c>
      <c r="Z35" s="71">
        <f t="shared" si="5"/>
        <v>1980000.0000000002</v>
      </c>
      <c r="AA35" s="71">
        <f t="shared" si="5"/>
        <v>1980000.0000000002</v>
      </c>
      <c r="AB35" s="71">
        <f t="shared" si="5"/>
        <v>1980000.0000000002</v>
      </c>
      <c r="AC35" s="10"/>
    </row>
    <row r="36" spans="2:29" s="123" customFormat="1" ht="15" customHeight="1" outlineLevel="2" x14ac:dyDescent="0.25">
      <c r="B36" s="8"/>
      <c r="C36" s="74" t="s">
        <v>295</v>
      </c>
      <c r="D36" s="90">
        <v>0.5</v>
      </c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2"/>
      <c r="AC36" s="10"/>
    </row>
    <row r="37" spans="2:29" s="78" customFormat="1" ht="15" customHeight="1" outlineLevel="1" x14ac:dyDescent="0.25">
      <c r="B37" s="8"/>
      <c r="C37" s="137" t="s">
        <v>82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0"/>
    </row>
    <row r="38" spans="2:29" s="123" customFormat="1" ht="15" customHeight="1" outlineLevel="3" x14ac:dyDescent="0.25">
      <c r="B38" s="8"/>
      <c r="C38" s="74" t="s">
        <v>294</v>
      </c>
      <c r="D38" s="150">
        <v>300000</v>
      </c>
      <c r="E38" s="140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2"/>
      <c r="AC38" s="10"/>
    </row>
    <row r="39" spans="2:29" s="123" customFormat="1" ht="15" customHeight="1" outlineLevel="3" x14ac:dyDescent="0.25">
      <c r="B39" s="8"/>
      <c r="C39" s="74" t="s">
        <v>297</v>
      </c>
      <c r="D39" s="71" t="s">
        <v>296</v>
      </c>
      <c r="E39" s="71">
        <v>0</v>
      </c>
      <c r="F39" s="71">
        <v>1</v>
      </c>
      <c r="G39" s="71">
        <v>1</v>
      </c>
      <c r="H39" s="71">
        <v>1</v>
      </c>
      <c r="I39" s="71">
        <v>1</v>
      </c>
      <c r="J39" s="71">
        <v>1</v>
      </c>
      <c r="K39" s="71">
        <v>2</v>
      </c>
      <c r="L39" s="71">
        <v>2</v>
      </c>
      <c r="M39" s="71">
        <v>2</v>
      </c>
      <c r="N39" s="71">
        <v>2</v>
      </c>
      <c r="O39" s="71">
        <v>2</v>
      </c>
      <c r="P39" s="71">
        <v>2</v>
      </c>
      <c r="Q39" s="71">
        <v>3</v>
      </c>
      <c r="R39" s="71">
        <v>3</v>
      </c>
      <c r="S39" s="71">
        <v>3</v>
      </c>
      <c r="T39" s="71">
        <v>3</v>
      </c>
      <c r="U39" s="71">
        <v>3</v>
      </c>
      <c r="V39" s="71">
        <v>3</v>
      </c>
      <c r="W39" s="71">
        <v>3</v>
      </c>
      <c r="X39" s="71">
        <v>3</v>
      </c>
      <c r="Y39" s="71">
        <v>3</v>
      </c>
      <c r="Z39" s="71">
        <v>3</v>
      </c>
      <c r="AA39" s="71">
        <v>3</v>
      </c>
      <c r="AB39" s="71">
        <v>3</v>
      </c>
      <c r="AC39" s="10"/>
    </row>
    <row r="40" spans="2:29" s="123" customFormat="1" ht="15" customHeight="1" outlineLevel="3" x14ac:dyDescent="0.25">
      <c r="B40" s="8"/>
      <c r="C40" s="74" t="s">
        <v>299</v>
      </c>
      <c r="D40" s="71" t="s">
        <v>296</v>
      </c>
      <c r="E40" s="71">
        <f>$D$38*E39*30%</f>
        <v>0</v>
      </c>
      <c r="F40" s="71">
        <f>$D$38*E39*30%+$D$38*F39*30%</f>
        <v>90000</v>
      </c>
      <c r="G40" s="71">
        <f>$D$38*E39*40%+$D$38*F39*30%+$D$38*G39*30%</f>
        <v>180000</v>
      </c>
      <c r="H40" s="71">
        <f>$D$38*F39*40%+$D$38*G39*30%+$D$38*H39*30%</f>
        <v>300000</v>
      </c>
      <c r="I40" s="71">
        <f t="shared" ref="I40:N40" si="6">$D$38*G39*40%+$D$38*H39*30%+$D$38*I39*30%</f>
        <v>300000</v>
      </c>
      <c r="J40" s="71">
        <f t="shared" si="6"/>
        <v>300000</v>
      </c>
      <c r="K40" s="71">
        <f t="shared" si="6"/>
        <v>390000</v>
      </c>
      <c r="L40" s="71">
        <f t="shared" si="6"/>
        <v>480000</v>
      </c>
      <c r="M40" s="71">
        <f t="shared" si="6"/>
        <v>600000</v>
      </c>
      <c r="N40" s="71">
        <f t="shared" si="6"/>
        <v>600000</v>
      </c>
      <c r="O40" s="71">
        <f t="shared" ref="O40" si="7">$D$38*M39*40%+$D$38*N39*30%+$D$38*O39*30%</f>
        <v>600000</v>
      </c>
      <c r="P40" s="71">
        <f t="shared" ref="P40" si="8">$D$38*N39*40%+$D$38*O39*30%+$D$38*P39*30%</f>
        <v>600000</v>
      </c>
      <c r="Q40" s="71">
        <f t="shared" ref="Q40" si="9">$D$38*O39*40%+$D$38*P39*30%+$D$38*Q39*30%</f>
        <v>690000</v>
      </c>
      <c r="R40" s="71">
        <f t="shared" ref="R40:T40" si="10">$D$38*P39*40%+$D$38*Q39*30%+$D$38*R39*30%</f>
        <v>780000</v>
      </c>
      <c r="S40" s="71">
        <f t="shared" si="10"/>
        <v>900000</v>
      </c>
      <c r="T40" s="71">
        <f t="shared" si="10"/>
        <v>900000</v>
      </c>
      <c r="U40" s="71">
        <f t="shared" ref="U40" si="11">$D$38*S39*40%+$D$38*T39*30%+$D$38*U39*30%</f>
        <v>900000</v>
      </c>
      <c r="V40" s="71">
        <f t="shared" ref="V40" si="12">$D$38*T39*40%+$D$38*U39*30%+$D$38*V39*30%</f>
        <v>900000</v>
      </c>
      <c r="W40" s="71">
        <f t="shared" ref="W40" si="13">$D$38*U39*40%+$D$38*V39*30%+$D$38*W39*30%</f>
        <v>900000</v>
      </c>
      <c r="X40" s="71">
        <f t="shared" ref="X40:Z40" si="14">$D$38*V39*40%+$D$38*W39*30%+$D$38*X39*30%</f>
        <v>900000</v>
      </c>
      <c r="Y40" s="71">
        <f t="shared" si="14"/>
        <v>900000</v>
      </c>
      <c r="Z40" s="71">
        <f t="shared" si="14"/>
        <v>900000</v>
      </c>
      <c r="AA40" s="71">
        <f t="shared" ref="AA40" si="15">$D$38*Y39*40%+$D$38*Z39*30%+$D$38*AA39*30%</f>
        <v>900000</v>
      </c>
      <c r="AB40" s="71">
        <f t="shared" ref="AB40" si="16">$D$38*Z39*40%+$D$38*AA39*30%+$D$38*AB39*30%</f>
        <v>900000</v>
      </c>
      <c r="AC40" s="10"/>
    </row>
    <row r="41" spans="2:29" s="123" customFormat="1" ht="15" customHeight="1" outlineLevel="3" x14ac:dyDescent="0.25">
      <c r="B41" s="8"/>
      <c r="C41" s="149" t="s">
        <v>301</v>
      </c>
      <c r="D41" s="90">
        <v>0.5</v>
      </c>
      <c r="E41" s="71">
        <f>$D$41*E40</f>
        <v>0</v>
      </c>
      <c r="F41" s="71">
        <f t="shared" ref="F41:AB41" si="17">$D$41*F40</f>
        <v>45000</v>
      </c>
      <c r="G41" s="71">
        <f t="shared" si="17"/>
        <v>90000</v>
      </c>
      <c r="H41" s="71">
        <f t="shared" si="17"/>
        <v>150000</v>
      </c>
      <c r="I41" s="71">
        <f t="shared" si="17"/>
        <v>150000</v>
      </c>
      <c r="J41" s="71">
        <f t="shared" si="17"/>
        <v>150000</v>
      </c>
      <c r="K41" s="71">
        <f t="shared" si="17"/>
        <v>195000</v>
      </c>
      <c r="L41" s="71">
        <f t="shared" si="17"/>
        <v>240000</v>
      </c>
      <c r="M41" s="71">
        <f t="shared" si="17"/>
        <v>300000</v>
      </c>
      <c r="N41" s="71">
        <f t="shared" si="17"/>
        <v>300000</v>
      </c>
      <c r="O41" s="71">
        <f t="shared" si="17"/>
        <v>300000</v>
      </c>
      <c r="P41" s="71">
        <f t="shared" si="17"/>
        <v>300000</v>
      </c>
      <c r="Q41" s="71">
        <f t="shared" si="17"/>
        <v>345000</v>
      </c>
      <c r="R41" s="71">
        <f t="shared" si="17"/>
        <v>390000</v>
      </c>
      <c r="S41" s="71">
        <f t="shared" si="17"/>
        <v>450000</v>
      </c>
      <c r="T41" s="71">
        <f t="shared" si="17"/>
        <v>450000</v>
      </c>
      <c r="U41" s="71">
        <f t="shared" si="17"/>
        <v>450000</v>
      </c>
      <c r="V41" s="71">
        <f t="shared" si="17"/>
        <v>450000</v>
      </c>
      <c r="W41" s="71">
        <f t="shared" si="17"/>
        <v>450000</v>
      </c>
      <c r="X41" s="71">
        <f t="shared" si="17"/>
        <v>450000</v>
      </c>
      <c r="Y41" s="71">
        <f t="shared" si="17"/>
        <v>450000</v>
      </c>
      <c r="Z41" s="71">
        <f t="shared" si="17"/>
        <v>450000</v>
      </c>
      <c r="AA41" s="71">
        <f t="shared" si="17"/>
        <v>450000</v>
      </c>
      <c r="AB41" s="71">
        <f t="shared" si="17"/>
        <v>450000</v>
      </c>
      <c r="AC41" s="10"/>
    </row>
    <row r="42" spans="2:29" s="123" customFormat="1" ht="15" customHeight="1" outlineLevel="3" x14ac:dyDescent="0.25">
      <c r="B42" s="8"/>
      <c r="C42" s="74" t="s">
        <v>295</v>
      </c>
      <c r="D42" s="90">
        <v>0.2</v>
      </c>
      <c r="E42" s="140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0"/>
    </row>
    <row r="43" spans="2:29" s="85" customFormat="1" ht="15" customHeight="1" outlineLevel="2" x14ac:dyDescent="0.25">
      <c r="B43" s="8"/>
      <c r="C43" s="137" t="s">
        <v>83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9"/>
      <c r="AC43" s="10"/>
    </row>
    <row r="44" spans="2:29" s="85" customFormat="1" ht="15" customHeight="1" outlineLevel="3" x14ac:dyDescent="0.25">
      <c r="B44" s="8"/>
      <c r="C44" s="74" t="s">
        <v>294</v>
      </c>
      <c r="D44" s="150">
        <v>1000</v>
      </c>
      <c r="E44" s="140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0"/>
    </row>
    <row r="45" spans="2:29" s="123" customFormat="1" ht="15" customHeight="1" outlineLevel="3" x14ac:dyDescent="0.25">
      <c r="B45" s="8"/>
      <c r="C45" s="74" t="s">
        <v>297</v>
      </c>
      <c r="D45" s="71" t="s">
        <v>296</v>
      </c>
      <c r="E45" s="71">
        <v>7</v>
      </c>
      <c r="F45" s="71">
        <v>10</v>
      </c>
      <c r="G45" s="71">
        <v>15</v>
      </c>
      <c r="H45" s="71">
        <v>20</v>
      </c>
      <c r="I45" s="71">
        <v>20</v>
      </c>
      <c r="J45" s="71">
        <v>20</v>
      </c>
      <c r="K45" s="71">
        <v>20</v>
      </c>
      <c r="L45" s="71">
        <v>20</v>
      </c>
      <c r="M45" s="71">
        <v>20</v>
      </c>
      <c r="N45" s="71">
        <v>20</v>
      </c>
      <c r="O45" s="71">
        <v>20</v>
      </c>
      <c r="P45" s="71">
        <v>20</v>
      </c>
      <c r="Q45" s="71">
        <v>20</v>
      </c>
      <c r="R45" s="71">
        <v>20</v>
      </c>
      <c r="S45" s="71">
        <v>20</v>
      </c>
      <c r="T45" s="71">
        <v>20</v>
      </c>
      <c r="U45" s="71">
        <v>20</v>
      </c>
      <c r="V45" s="71">
        <v>20</v>
      </c>
      <c r="W45" s="71">
        <v>20</v>
      </c>
      <c r="X45" s="71">
        <v>20</v>
      </c>
      <c r="Y45" s="71">
        <v>20</v>
      </c>
      <c r="Z45" s="71">
        <v>20</v>
      </c>
      <c r="AA45" s="71">
        <v>20</v>
      </c>
      <c r="AB45" s="71">
        <v>20</v>
      </c>
      <c r="AC45" s="10"/>
    </row>
    <row r="46" spans="2:29" s="123" customFormat="1" ht="15" customHeight="1" outlineLevel="3" x14ac:dyDescent="0.25">
      <c r="B46" s="8"/>
      <c r="C46" s="74" t="s">
        <v>299</v>
      </c>
      <c r="D46" s="71" t="s">
        <v>296</v>
      </c>
      <c r="E46" s="71">
        <f>$D$44*E45</f>
        <v>7000</v>
      </c>
      <c r="F46" s="71">
        <f t="shared" ref="F46:AB46" si="18">$D$44*F45</f>
        <v>10000</v>
      </c>
      <c r="G46" s="71">
        <f t="shared" si="18"/>
        <v>15000</v>
      </c>
      <c r="H46" s="71">
        <f t="shared" si="18"/>
        <v>20000</v>
      </c>
      <c r="I46" s="71">
        <f t="shared" si="18"/>
        <v>20000</v>
      </c>
      <c r="J46" s="71">
        <f t="shared" si="18"/>
        <v>20000</v>
      </c>
      <c r="K46" s="71">
        <f t="shared" si="18"/>
        <v>20000</v>
      </c>
      <c r="L46" s="71">
        <f t="shared" si="18"/>
        <v>20000</v>
      </c>
      <c r="M46" s="71">
        <f t="shared" si="18"/>
        <v>20000</v>
      </c>
      <c r="N46" s="71">
        <f t="shared" si="18"/>
        <v>20000</v>
      </c>
      <c r="O46" s="71">
        <f t="shared" si="18"/>
        <v>20000</v>
      </c>
      <c r="P46" s="71">
        <f t="shared" si="18"/>
        <v>20000</v>
      </c>
      <c r="Q46" s="71">
        <f t="shared" si="18"/>
        <v>20000</v>
      </c>
      <c r="R46" s="71">
        <f t="shared" si="18"/>
        <v>20000</v>
      </c>
      <c r="S46" s="71">
        <f t="shared" si="18"/>
        <v>20000</v>
      </c>
      <c r="T46" s="71">
        <f t="shared" si="18"/>
        <v>20000</v>
      </c>
      <c r="U46" s="71">
        <f t="shared" si="18"/>
        <v>20000</v>
      </c>
      <c r="V46" s="71">
        <f t="shared" si="18"/>
        <v>20000</v>
      </c>
      <c r="W46" s="71">
        <f t="shared" si="18"/>
        <v>20000</v>
      </c>
      <c r="X46" s="71">
        <f t="shared" si="18"/>
        <v>20000</v>
      </c>
      <c r="Y46" s="71">
        <f t="shared" si="18"/>
        <v>20000</v>
      </c>
      <c r="Z46" s="71">
        <f t="shared" si="18"/>
        <v>20000</v>
      </c>
      <c r="AA46" s="71">
        <f t="shared" si="18"/>
        <v>20000</v>
      </c>
      <c r="AB46" s="71">
        <f t="shared" si="18"/>
        <v>20000</v>
      </c>
      <c r="AC46" s="10"/>
    </row>
    <row r="47" spans="2:29" s="123" customFormat="1" ht="15" customHeight="1" outlineLevel="3" x14ac:dyDescent="0.25">
      <c r="B47" s="8"/>
      <c r="C47" s="74" t="s">
        <v>295</v>
      </c>
      <c r="D47" s="90">
        <v>0.2</v>
      </c>
      <c r="E47" s="140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0"/>
    </row>
    <row r="48" spans="2:29" ht="15" customHeight="1" x14ac:dyDescent="0.25">
      <c r="B48" s="8"/>
      <c r="C48" s="72" t="s">
        <v>302</v>
      </c>
      <c r="D48" s="146"/>
      <c r="E48" s="73">
        <f t="shared" ref="E48:AB48" si="19">E29+E34+E40+E46</f>
        <v>56000</v>
      </c>
      <c r="F48" s="73">
        <f t="shared" si="19"/>
        <v>219000</v>
      </c>
      <c r="G48" s="73">
        <f t="shared" si="19"/>
        <v>1139000</v>
      </c>
      <c r="H48" s="73">
        <f t="shared" si="19"/>
        <v>1849000</v>
      </c>
      <c r="I48" s="73">
        <f t="shared" si="19"/>
        <v>2420000</v>
      </c>
      <c r="J48" s="73">
        <f t="shared" si="19"/>
        <v>2525000</v>
      </c>
      <c r="K48" s="73">
        <f t="shared" si="19"/>
        <v>2720000</v>
      </c>
      <c r="L48" s="73">
        <f t="shared" si="19"/>
        <v>2915000</v>
      </c>
      <c r="M48" s="73">
        <f t="shared" si="19"/>
        <v>3860000</v>
      </c>
      <c r="N48" s="73">
        <f t="shared" si="19"/>
        <v>3965000</v>
      </c>
      <c r="O48" s="73">
        <f t="shared" si="19"/>
        <v>4070000</v>
      </c>
      <c r="P48" s="73">
        <f t="shared" si="19"/>
        <v>4175000</v>
      </c>
      <c r="Q48" s="73">
        <f t="shared" si="19"/>
        <v>4293000</v>
      </c>
      <c r="R48" s="73">
        <f t="shared" si="19"/>
        <v>4418000</v>
      </c>
      <c r="S48" s="73">
        <f t="shared" si="19"/>
        <v>5738000</v>
      </c>
      <c r="T48" s="73">
        <f t="shared" si="19"/>
        <v>5738000</v>
      </c>
      <c r="U48" s="73">
        <f t="shared" si="19"/>
        <v>5738000</v>
      </c>
      <c r="V48" s="73">
        <f t="shared" si="19"/>
        <v>5738000</v>
      </c>
      <c r="W48" s="73">
        <f t="shared" si="19"/>
        <v>5738000</v>
      </c>
      <c r="X48" s="73">
        <f t="shared" si="19"/>
        <v>5738000</v>
      </c>
      <c r="Y48" s="73">
        <f t="shared" si="19"/>
        <v>5738000</v>
      </c>
      <c r="Z48" s="73">
        <f t="shared" si="19"/>
        <v>5738000</v>
      </c>
      <c r="AA48" s="73">
        <f t="shared" si="19"/>
        <v>5738000</v>
      </c>
      <c r="AB48" s="73">
        <f t="shared" si="19"/>
        <v>5738000</v>
      </c>
      <c r="AC48" s="10"/>
    </row>
    <row r="49" spans="2:29" s="154" customFormat="1" ht="15" customHeight="1" x14ac:dyDescent="0.25">
      <c r="B49" s="8"/>
      <c r="C49" s="72" t="s">
        <v>307</v>
      </c>
      <c r="D49" s="146"/>
      <c r="E49" s="73">
        <f>E29+E34-E35+E40-E41+E46</f>
        <v>56000</v>
      </c>
      <c r="F49" s="73">
        <f t="shared" ref="F49:AB49" si="20">F29+F34-F35+F40-F41+F46</f>
        <v>174000</v>
      </c>
      <c r="G49" s="73">
        <f t="shared" si="20"/>
        <v>653000</v>
      </c>
      <c r="H49" s="73">
        <f t="shared" si="20"/>
        <v>1039000</v>
      </c>
      <c r="I49" s="73">
        <f t="shared" si="20"/>
        <v>1346000</v>
      </c>
      <c r="J49" s="73">
        <f t="shared" si="20"/>
        <v>1451000</v>
      </c>
      <c r="K49" s="73">
        <f t="shared" si="20"/>
        <v>1601000</v>
      </c>
      <c r="L49" s="73">
        <f t="shared" si="20"/>
        <v>1751000</v>
      </c>
      <c r="M49" s="73">
        <f t="shared" si="20"/>
        <v>2240000</v>
      </c>
      <c r="N49" s="73">
        <f t="shared" si="20"/>
        <v>2345000</v>
      </c>
      <c r="O49" s="73">
        <f t="shared" si="20"/>
        <v>2450000</v>
      </c>
      <c r="P49" s="73">
        <f t="shared" si="20"/>
        <v>2555000</v>
      </c>
      <c r="Q49" s="73">
        <f t="shared" si="20"/>
        <v>2628000</v>
      </c>
      <c r="R49" s="73">
        <f t="shared" si="20"/>
        <v>2708000</v>
      </c>
      <c r="S49" s="73">
        <f t="shared" si="20"/>
        <v>3308000</v>
      </c>
      <c r="T49" s="73">
        <f t="shared" si="20"/>
        <v>3308000</v>
      </c>
      <c r="U49" s="73">
        <f t="shared" si="20"/>
        <v>3308000</v>
      </c>
      <c r="V49" s="73">
        <f t="shared" si="20"/>
        <v>3308000</v>
      </c>
      <c r="W49" s="73">
        <f t="shared" si="20"/>
        <v>3308000</v>
      </c>
      <c r="X49" s="73">
        <f t="shared" si="20"/>
        <v>3308000</v>
      </c>
      <c r="Y49" s="73">
        <f t="shared" si="20"/>
        <v>3308000</v>
      </c>
      <c r="Z49" s="73">
        <f t="shared" si="20"/>
        <v>3308000</v>
      </c>
      <c r="AA49" s="73">
        <f t="shared" si="20"/>
        <v>3308000</v>
      </c>
      <c r="AB49" s="73">
        <f t="shared" si="20"/>
        <v>3308000</v>
      </c>
      <c r="AC49" s="10"/>
    </row>
    <row r="50" spans="2:29" ht="15" customHeight="1" thickBot="1" x14ac:dyDescent="0.3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</row>
    <row r="52" spans="2:29" ht="15" customHeight="1" x14ac:dyDescent="0.25">
      <c r="E52" s="88"/>
    </row>
  </sheetData>
  <mergeCells count="16">
    <mergeCell ref="E19:G19"/>
    <mergeCell ref="E20:G20"/>
    <mergeCell ref="E12:G12"/>
    <mergeCell ref="E13:G13"/>
    <mergeCell ref="B3:AC3"/>
    <mergeCell ref="B4:AC4"/>
    <mergeCell ref="C11:AB11"/>
    <mergeCell ref="I7:K7"/>
    <mergeCell ref="I8:K8"/>
    <mergeCell ref="H6:J6"/>
    <mergeCell ref="C9:J9"/>
    <mergeCell ref="E14:G14"/>
    <mergeCell ref="E15:G15"/>
    <mergeCell ref="E16:G16"/>
    <mergeCell ref="E17:G17"/>
    <mergeCell ref="E18:G1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6"/>
  <sheetViews>
    <sheetView zoomScale="70" zoomScaleNormal="70" workbookViewId="0"/>
  </sheetViews>
  <sheetFormatPr defaultColWidth="15.140625" defaultRowHeight="15" customHeight="1" outlineLevelRow="1" x14ac:dyDescent="0.25"/>
  <cols>
    <col min="1" max="2" width="5.28515625" style="41" customWidth="1"/>
    <col min="3" max="3" width="60.5703125" style="41" bestFit="1" customWidth="1"/>
    <col min="4" max="25" width="13.42578125" style="41" bestFit="1" customWidth="1"/>
    <col min="26" max="27" width="14.5703125" style="41" bestFit="1" customWidth="1"/>
    <col min="28" max="28" width="7" style="41" customWidth="1"/>
    <col min="29" max="16384" width="15.140625" style="41"/>
  </cols>
  <sheetData>
    <row r="1" spans="2:28" ht="15" customHeight="1" thickBot="1" x14ac:dyDescent="0.3"/>
    <row r="2" spans="2:28" ht="15" customHeight="1" x14ac:dyDescent="0.25"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</row>
    <row r="3" spans="2:28" ht="20.25" x14ac:dyDescent="0.3">
      <c r="B3" s="155" t="s">
        <v>15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</row>
    <row r="4" spans="2:28" ht="20.25" x14ac:dyDescent="0.3">
      <c r="B4" s="155" t="s">
        <v>292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7"/>
    </row>
    <row r="5" spans="2:28" ht="59.25" customHeight="1" x14ac:dyDescent="0.25"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0"/>
    </row>
    <row r="6" spans="2:28" x14ac:dyDescent="0.25">
      <c r="B6" s="8"/>
      <c r="C6" s="1"/>
      <c r="D6" s="163" t="s">
        <v>17</v>
      </c>
      <c r="E6" s="163"/>
      <c r="F6" s="1"/>
      <c r="G6" s="1"/>
      <c r="H6" s="1"/>
      <c r="I6" s="1"/>
      <c r="J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0"/>
    </row>
    <row r="7" spans="2:28" x14ac:dyDescent="0.25">
      <c r="B7" s="8"/>
      <c r="C7" s="1"/>
      <c r="D7" s="92"/>
      <c r="E7" s="161" t="s">
        <v>12</v>
      </c>
      <c r="F7" s="161"/>
      <c r="G7" s="26"/>
      <c r="H7" s="26"/>
      <c r="I7" s="26"/>
      <c r="J7" s="1"/>
      <c r="M7" s="44"/>
      <c r="N7" s="44"/>
      <c r="O7" s="44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10"/>
    </row>
    <row r="8" spans="2:28" x14ac:dyDescent="0.25">
      <c r="B8" s="8"/>
      <c r="C8" s="1"/>
      <c r="D8" s="61"/>
      <c r="E8" s="161" t="s">
        <v>13</v>
      </c>
      <c r="F8" s="161"/>
      <c r="G8" s="26"/>
      <c r="H8" s="26"/>
      <c r="I8" s="26"/>
      <c r="J8" s="1"/>
      <c r="M8" s="44"/>
      <c r="N8" s="44"/>
      <c r="O8" s="44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10"/>
    </row>
    <row r="9" spans="2:28" x14ac:dyDescent="0.25"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0"/>
    </row>
    <row r="10" spans="2:28" ht="20.25" x14ac:dyDescent="0.3">
      <c r="B10" s="8"/>
      <c r="C10" s="187" t="s">
        <v>65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0"/>
    </row>
    <row r="11" spans="2:28" ht="14.25" customHeight="1" x14ac:dyDescent="0.25">
      <c r="B11" s="8"/>
      <c r="C11" s="34"/>
      <c r="D11" s="35" t="s">
        <v>0</v>
      </c>
      <c r="E11" s="35" t="s">
        <v>1</v>
      </c>
      <c r="F11" s="35" t="s">
        <v>2</v>
      </c>
      <c r="G11" s="35" t="s">
        <v>3</v>
      </c>
      <c r="H11" s="35" t="s">
        <v>4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27</v>
      </c>
      <c r="O11" s="35" t="s">
        <v>28</v>
      </c>
      <c r="P11" s="35" t="s">
        <v>31</v>
      </c>
      <c r="Q11" s="35" t="s">
        <v>32</v>
      </c>
      <c r="R11" s="35" t="s">
        <v>33</v>
      </c>
      <c r="S11" s="35" t="s">
        <v>34</v>
      </c>
      <c r="T11" s="35" t="s">
        <v>35</v>
      </c>
      <c r="U11" s="35" t="s">
        <v>29</v>
      </c>
      <c r="V11" s="35" t="s">
        <v>36</v>
      </c>
      <c r="W11" s="35" t="s">
        <v>37</v>
      </c>
      <c r="X11" s="35" t="s">
        <v>38</v>
      </c>
      <c r="Y11" s="35" t="s">
        <v>39</v>
      </c>
      <c r="Z11" s="35" t="s">
        <v>40</v>
      </c>
      <c r="AA11" s="35" t="s">
        <v>30</v>
      </c>
      <c r="AB11" s="10"/>
    </row>
    <row r="12" spans="2:28" hidden="1" x14ac:dyDescent="0.25">
      <c r="B12" s="8"/>
      <c r="C12" s="34"/>
      <c r="D12" s="35">
        <v>1</v>
      </c>
      <c r="E12" s="35">
        <v>2</v>
      </c>
      <c r="F12" s="35">
        <v>3</v>
      </c>
      <c r="G12" s="35">
        <v>4</v>
      </c>
      <c r="H12" s="35">
        <v>5</v>
      </c>
      <c r="I12" s="35">
        <v>6</v>
      </c>
      <c r="J12" s="35">
        <v>7</v>
      </c>
      <c r="K12" s="35">
        <v>8</v>
      </c>
      <c r="L12" s="35">
        <v>9</v>
      </c>
      <c r="M12" s="35">
        <v>10</v>
      </c>
      <c r="N12" s="35">
        <v>11</v>
      </c>
      <c r="O12" s="35">
        <v>12</v>
      </c>
      <c r="P12" s="35">
        <v>13</v>
      </c>
      <c r="Q12" s="35">
        <v>14</v>
      </c>
      <c r="R12" s="35">
        <v>15</v>
      </c>
      <c r="S12" s="35">
        <v>16</v>
      </c>
      <c r="T12" s="35">
        <v>17</v>
      </c>
      <c r="U12" s="35">
        <v>18</v>
      </c>
      <c r="V12" s="35">
        <v>19</v>
      </c>
      <c r="W12" s="35">
        <v>20</v>
      </c>
      <c r="X12" s="35">
        <v>21</v>
      </c>
      <c r="Y12" s="35">
        <v>22</v>
      </c>
      <c r="Z12" s="35">
        <v>23</v>
      </c>
      <c r="AA12" s="35">
        <v>24</v>
      </c>
      <c r="AB12" s="10"/>
    </row>
    <row r="13" spans="2:28" x14ac:dyDescent="0.25">
      <c r="B13" s="8"/>
      <c r="C13" s="36" t="s">
        <v>305</v>
      </c>
      <c r="D13" s="27">
        <f>Продажи!E48</f>
        <v>56000</v>
      </c>
      <c r="E13" s="27">
        <f>Продажи!F48</f>
        <v>219000</v>
      </c>
      <c r="F13" s="27">
        <f>Продажи!G48</f>
        <v>1139000</v>
      </c>
      <c r="G13" s="27">
        <f>Продажи!H48</f>
        <v>1849000</v>
      </c>
      <c r="H13" s="27">
        <f>Продажи!I48</f>
        <v>2420000</v>
      </c>
      <c r="I13" s="27">
        <f>Продажи!J48</f>
        <v>2525000</v>
      </c>
      <c r="J13" s="27">
        <f>Продажи!K48</f>
        <v>2720000</v>
      </c>
      <c r="K13" s="27">
        <f>Продажи!L48</f>
        <v>2915000</v>
      </c>
      <c r="L13" s="27">
        <f>Продажи!M48</f>
        <v>3860000</v>
      </c>
      <c r="M13" s="27">
        <f>Продажи!N48</f>
        <v>3965000</v>
      </c>
      <c r="N13" s="27">
        <f>Продажи!O48</f>
        <v>4070000</v>
      </c>
      <c r="O13" s="27">
        <f>Продажи!P48</f>
        <v>4175000</v>
      </c>
      <c r="P13" s="27">
        <f>Продажи!Q48</f>
        <v>4293000</v>
      </c>
      <c r="Q13" s="27">
        <f>Продажи!R48</f>
        <v>4418000</v>
      </c>
      <c r="R13" s="27">
        <f>Продажи!S48</f>
        <v>5738000</v>
      </c>
      <c r="S13" s="27">
        <f>Продажи!T48</f>
        <v>5738000</v>
      </c>
      <c r="T13" s="27">
        <f>Продажи!U48</f>
        <v>5738000</v>
      </c>
      <c r="U13" s="27">
        <f>Продажи!V48</f>
        <v>5738000</v>
      </c>
      <c r="V13" s="27">
        <f>Продажи!W48</f>
        <v>5738000</v>
      </c>
      <c r="W13" s="27">
        <f>Продажи!X48</f>
        <v>5738000</v>
      </c>
      <c r="X13" s="27">
        <f>Продажи!Y48</f>
        <v>5738000</v>
      </c>
      <c r="Y13" s="27">
        <f>Продажи!Z48</f>
        <v>5738000</v>
      </c>
      <c r="Z13" s="27">
        <f>Продажи!AA48</f>
        <v>5738000</v>
      </c>
      <c r="AA13" s="27">
        <f>Продажи!AB48</f>
        <v>5738000</v>
      </c>
      <c r="AB13" s="10"/>
    </row>
    <row r="14" spans="2:28" s="123" customFormat="1" outlineLevel="1" x14ac:dyDescent="0.25">
      <c r="B14" s="8"/>
      <c r="C14" s="75" t="s">
        <v>308</v>
      </c>
      <c r="D14" s="32">
        <f>Продажи!E35+Продажи!E41</f>
        <v>0</v>
      </c>
      <c r="E14" s="32">
        <f>Продажи!F35+Продажи!F41</f>
        <v>45000</v>
      </c>
      <c r="F14" s="32">
        <f>Продажи!G35+Продажи!G41</f>
        <v>486000.00000000006</v>
      </c>
      <c r="G14" s="32">
        <f>Продажи!H35+Продажи!H41</f>
        <v>810000</v>
      </c>
      <c r="H14" s="32">
        <f>Продажи!I35+Продажи!I41</f>
        <v>1074000</v>
      </c>
      <c r="I14" s="32">
        <f>Продажи!J35+Продажи!J41</f>
        <v>1074000</v>
      </c>
      <c r="J14" s="32">
        <f>Продажи!K35+Продажи!K41</f>
        <v>1119000</v>
      </c>
      <c r="K14" s="32">
        <f>Продажи!L35+Продажи!L41</f>
        <v>1164000</v>
      </c>
      <c r="L14" s="32">
        <f>Продажи!M35+Продажи!M41</f>
        <v>1620000</v>
      </c>
      <c r="M14" s="32">
        <f>Продажи!N35+Продажи!N41</f>
        <v>1620000</v>
      </c>
      <c r="N14" s="32">
        <f>Продажи!O35+Продажи!O41</f>
        <v>1620000</v>
      </c>
      <c r="O14" s="32">
        <f>Продажи!P35+Продажи!P41</f>
        <v>1620000</v>
      </c>
      <c r="P14" s="32">
        <f>Продажи!Q35+Продажи!Q41</f>
        <v>1665000</v>
      </c>
      <c r="Q14" s="32">
        <f>Продажи!R35+Продажи!R41</f>
        <v>1710000</v>
      </c>
      <c r="R14" s="32">
        <f>Продажи!S35+Продажи!S41</f>
        <v>2430000</v>
      </c>
      <c r="S14" s="32">
        <f>Продажи!T35+Продажи!T41</f>
        <v>2430000</v>
      </c>
      <c r="T14" s="32">
        <f>Продажи!U35+Продажи!U41</f>
        <v>2430000</v>
      </c>
      <c r="U14" s="32">
        <f>Продажи!V35+Продажи!V41</f>
        <v>2430000</v>
      </c>
      <c r="V14" s="32">
        <f>Продажи!W35+Продажи!W41</f>
        <v>2430000</v>
      </c>
      <c r="W14" s="32">
        <f>Продажи!X35+Продажи!X41</f>
        <v>2430000</v>
      </c>
      <c r="X14" s="32">
        <f>Продажи!Y35+Продажи!Y41</f>
        <v>2430000</v>
      </c>
      <c r="Y14" s="32">
        <f>Продажи!Z35+Продажи!Z41</f>
        <v>2430000</v>
      </c>
      <c r="Z14" s="32">
        <f>Продажи!AA35+Продажи!AA41</f>
        <v>2430000</v>
      </c>
      <c r="AA14" s="32">
        <f>Продажи!AB35+Продажи!AB41</f>
        <v>2430000</v>
      </c>
      <c r="AB14" s="10"/>
    </row>
    <row r="15" spans="2:28" s="152" customFormat="1" x14ac:dyDescent="0.25">
      <c r="B15" s="8"/>
      <c r="C15" s="36" t="s">
        <v>306</v>
      </c>
      <c r="D15" s="27">
        <f>Продажи!E49</f>
        <v>56000</v>
      </c>
      <c r="E15" s="27">
        <f>Продажи!F49</f>
        <v>174000</v>
      </c>
      <c r="F15" s="27">
        <f>Продажи!G49</f>
        <v>653000</v>
      </c>
      <c r="G15" s="27">
        <f>Продажи!H49</f>
        <v>1039000</v>
      </c>
      <c r="H15" s="27">
        <f>Продажи!I49</f>
        <v>1346000</v>
      </c>
      <c r="I15" s="27">
        <f>Продажи!J49</f>
        <v>1451000</v>
      </c>
      <c r="J15" s="27">
        <f>Продажи!K49</f>
        <v>1601000</v>
      </c>
      <c r="K15" s="27">
        <f>Продажи!L49</f>
        <v>1751000</v>
      </c>
      <c r="L15" s="27">
        <f>Продажи!M49</f>
        <v>2240000</v>
      </c>
      <c r="M15" s="27">
        <f>Продажи!N49</f>
        <v>2345000</v>
      </c>
      <c r="N15" s="27">
        <f>Продажи!O49</f>
        <v>2450000</v>
      </c>
      <c r="O15" s="27">
        <f>Продажи!P49</f>
        <v>2555000</v>
      </c>
      <c r="P15" s="27">
        <f>Продажи!Q49</f>
        <v>2628000</v>
      </c>
      <c r="Q15" s="27">
        <f>Продажи!R49</f>
        <v>2708000</v>
      </c>
      <c r="R15" s="27">
        <f>Продажи!S49</f>
        <v>3308000</v>
      </c>
      <c r="S15" s="27">
        <f>Продажи!T49</f>
        <v>3308000</v>
      </c>
      <c r="T15" s="27">
        <f>Продажи!U49</f>
        <v>3308000</v>
      </c>
      <c r="U15" s="27">
        <f>Продажи!V49</f>
        <v>3308000</v>
      </c>
      <c r="V15" s="27">
        <f>Продажи!W49</f>
        <v>3308000</v>
      </c>
      <c r="W15" s="27">
        <f>Продажи!X49</f>
        <v>3308000</v>
      </c>
      <c r="X15" s="27">
        <f>Продажи!Y49</f>
        <v>3308000</v>
      </c>
      <c r="Y15" s="27">
        <f>Продажи!Z49</f>
        <v>3308000</v>
      </c>
      <c r="Z15" s="27">
        <f>Продажи!AA49</f>
        <v>3308000</v>
      </c>
      <c r="AA15" s="27">
        <f>Продажи!AB49</f>
        <v>3308000</v>
      </c>
      <c r="AB15" s="10"/>
    </row>
    <row r="16" spans="2:28" s="66" customFormat="1" x14ac:dyDescent="0.25">
      <c r="B16" s="8"/>
      <c r="C16" s="36" t="s">
        <v>66</v>
      </c>
      <c r="D16" s="27">
        <f t="shared" ref="D16:AA16" si="0">SUM(D17:D21)</f>
        <v>106930</v>
      </c>
      <c r="E16" s="27">
        <f t="shared" si="0"/>
        <v>146310</v>
      </c>
      <c r="F16" s="27">
        <f t="shared" si="0"/>
        <v>357010</v>
      </c>
      <c r="G16" s="27">
        <f t="shared" si="0"/>
        <v>512910</v>
      </c>
      <c r="H16" s="27">
        <f t="shared" si="0"/>
        <v>641770</v>
      </c>
      <c r="I16" s="27">
        <f t="shared" si="0"/>
        <v>671870</v>
      </c>
      <c r="J16" s="27">
        <f t="shared" si="0"/>
        <v>712870</v>
      </c>
      <c r="K16" s="27">
        <f t="shared" si="0"/>
        <v>751870</v>
      </c>
      <c r="L16" s="27">
        <f t="shared" si="0"/>
        <v>956770</v>
      </c>
      <c r="M16" s="27">
        <f t="shared" si="0"/>
        <v>984070</v>
      </c>
      <c r="N16" s="27">
        <f t="shared" si="0"/>
        <v>1011370</v>
      </c>
      <c r="O16" s="27">
        <f t="shared" si="0"/>
        <v>1038670</v>
      </c>
      <c r="P16" s="27">
        <f t="shared" si="0"/>
        <v>1055050</v>
      </c>
      <c r="Q16" s="27">
        <f t="shared" si="0"/>
        <v>1081450</v>
      </c>
      <c r="R16" s="27">
        <f t="shared" si="0"/>
        <v>1367050</v>
      </c>
      <c r="S16" s="27">
        <f t="shared" si="0"/>
        <v>1367050</v>
      </c>
      <c r="T16" s="27">
        <f t="shared" si="0"/>
        <v>1364250</v>
      </c>
      <c r="U16" s="27">
        <f t="shared" si="0"/>
        <v>1367050</v>
      </c>
      <c r="V16" s="27">
        <f t="shared" si="0"/>
        <v>1367050</v>
      </c>
      <c r="W16" s="27">
        <f t="shared" si="0"/>
        <v>1367050</v>
      </c>
      <c r="X16" s="27">
        <f t="shared" si="0"/>
        <v>1367050</v>
      </c>
      <c r="Y16" s="27">
        <f t="shared" si="0"/>
        <v>1367050</v>
      </c>
      <c r="Z16" s="27">
        <f t="shared" si="0"/>
        <v>1367050</v>
      </c>
      <c r="AA16" s="27">
        <f t="shared" si="0"/>
        <v>1367050</v>
      </c>
      <c r="AB16" s="10"/>
    </row>
    <row r="17" spans="2:28" outlineLevel="1" x14ac:dyDescent="0.25">
      <c r="B17" s="8"/>
      <c r="C17" s="75" t="s">
        <v>67</v>
      </c>
      <c r="D17" s="32">
        <f>'Ежемесячные затраты'!$F$14+'Ежемесячные затраты'!$F$15+'Ежемесячные затраты'!$E$18*(Продажи!E27+Продажи!E33+Продажи!E39+Продажи!E45)+Продажи!E22*Продажи!E23*'Ежемесячные затраты'!$D$18</f>
        <v>38700</v>
      </c>
      <c r="E17" s="32">
        <f>'Ежемесячные затраты'!$F$14+'Ежемесячные затраты'!$F$15+'Ежемесячные затраты'!$E$18*(Продажи!F27+Продажи!F33+Продажи!F39+Продажи!F45)+Продажи!F22*Продажи!F23*'Ежемесячные затраты'!$D$18</f>
        <v>47400</v>
      </c>
      <c r="F17" s="32">
        <f>'Ежемесячные затраты'!$F$14+'Ежемесячные затраты'!$F$15+'Ежемесячные затраты'!$E$18*(Продажи!G27+Продажи!G33+Продажи!G39+Продажи!G45)+Продажи!G22*Продажи!G23*'Ежемесячные затраты'!$D$18</f>
        <v>55800</v>
      </c>
      <c r="G17" s="32">
        <f>'Ежемесячные затраты'!$F$14+'Ежемесячные затраты'!$F$15+'Ежемесячные затраты'!$E$18*(Продажи!H27+Продажи!H33+Продажи!H39+Продажи!H45)+Продажи!H22*Продажи!H23*'Ежемесячные затраты'!$D$18</f>
        <v>59500</v>
      </c>
      <c r="H17" s="32">
        <f>'Ежемесячные затраты'!$F$14+'Ежемесячные затраты'!$F$15+'Ежемесячные затраты'!$E$18*(Продажи!I27+Продажи!I33+Продажи!I39+Продажи!I45)+Продажи!I22*Продажи!I23*'Ежемесячные затраты'!$D$18</f>
        <v>56700</v>
      </c>
      <c r="I17" s="32">
        <f>'Ежемесячные затраты'!$F$14+'Ежемесячные затраты'!$F$15+'Ежемесячные затраты'!$E$18*(Продажи!J27+Продажи!J33+Продажи!J39+Продажи!J45)+Продажи!J22*Продажи!J23*'Ежемесячные затраты'!$D$18</f>
        <v>59500</v>
      </c>
      <c r="J17" s="32">
        <f>'Ежемесячные затраты'!$F$14+'Ежемесячные затраты'!$F$15+'Ежемесячные затраты'!$E$18*(Продажи!K27+Продажи!K33+Продажи!K39+Продажи!K45)+Продажи!K22*Продажи!K23*'Ежемесячные затраты'!$D$18</f>
        <v>61500</v>
      </c>
      <c r="K17" s="32">
        <f>'Ежемесячные затраты'!$F$14+'Ежемесячные затраты'!$F$15+'Ежемесячные затраты'!$E$18*(Продажи!L27+Продажи!L33+Продажи!L39+Продажи!L45)+Продажи!L22*Продажи!L23*'Ежемесячные затраты'!$D$18</f>
        <v>61500</v>
      </c>
      <c r="L17" s="32">
        <f>'Ежемесячные затраты'!$F$14+'Ежемесячные затраты'!$F$15+'Ежемесячные затраты'!$E$18*(Продажи!M27+Продажи!M33+Продажи!M39+Продажи!M45)+Продажи!M22*Продажи!M23*'Ежемесячные затраты'!$D$18</f>
        <v>61500</v>
      </c>
      <c r="M17" s="32">
        <f>'Ежемесячные затраты'!$F$14+'Ежемесячные затраты'!$F$15+'Ежемесячные затраты'!$E$18*(Продажи!N27+Продажи!N33+Продажи!N39+Продажи!N45)+Продажи!N22*Продажи!N23*'Ежемесячные затраты'!$D$18</f>
        <v>61500</v>
      </c>
      <c r="N17" s="32">
        <f>'Ежемесячные затраты'!$F$14+'Ежемесячные затраты'!$F$15+'Ежемесячные затраты'!$E$18*(Продажи!O27+Продажи!O33+Продажи!O39+Продажи!O45)+Продажи!O22*Продажи!O23*'Ежемесячные затраты'!$D$18</f>
        <v>61500</v>
      </c>
      <c r="O17" s="32">
        <f>'Ежемесячные затраты'!$F$14+'Ежемесячные затраты'!$F$15+'Ежемесячные затраты'!$E$18*(Продажи!P27+Продажи!P33+Продажи!P39+Продажи!P45)+Продажи!P22*Продажи!P23*'Ежемесячные затраты'!$D$18</f>
        <v>61500</v>
      </c>
      <c r="P17" s="32">
        <f>'Ежемесячные затраты'!$F$14+'Ежемесячные затраты'!$F$15+'Ежемесячные затраты'!$E$18*(Продажи!Q27+Продажи!Q33+Продажи!Q39+Продажи!Q45)+Продажи!Q22*Продажи!Q23*'Ежемесячные затраты'!$D$18</f>
        <v>58900</v>
      </c>
      <c r="Q17" s="32">
        <f>'Ежемесячные затраты'!$F$14+'Ежемесячные затраты'!$F$15+'Ежемесячные затраты'!$E$18*(Продажи!R27+Продажи!R33+Продажи!R39+Продажи!R45)+Продажи!R22*Продажи!R23*'Ежемесячные затраты'!$D$18</f>
        <v>64500</v>
      </c>
      <c r="R17" s="32">
        <f>'Ежемесячные затраты'!$F$14+'Ежемесячные затраты'!$F$15+'Ежемесячные затраты'!$E$18*(Продажи!S27+Продажи!S33+Продажи!S39+Продажи!S45)+Продажи!S22*Продажи!S23*'Ежемесячные затраты'!$D$18</f>
        <v>64500</v>
      </c>
      <c r="S17" s="32">
        <f>'Ежемесячные затраты'!$F$14+'Ежемесячные затраты'!$F$15+'Ежемесячные затраты'!$E$18*(Продажи!T27+Продажи!T33+Продажи!T39+Продажи!T45)+Продажи!T22*Продажи!T23*'Ежемесячные затраты'!$D$18</f>
        <v>64500</v>
      </c>
      <c r="T17" s="32">
        <f>'Ежемесячные затраты'!$F$14+'Ежемесячные затраты'!$F$15+'Ежемесячные затраты'!$E$18*(Продажи!U27+Продажи!U33+Продажи!U39+Продажи!U45)+Продажи!U22*Продажи!U23*'Ежемесячные затраты'!$D$18</f>
        <v>61700</v>
      </c>
      <c r="U17" s="32">
        <f>'Ежемесячные затраты'!$F$14+'Ежемесячные затраты'!$F$15+'Ежемесячные затраты'!$E$18*(Продажи!V27+Продажи!V33+Продажи!V39+Продажи!V45)+Продажи!V22*Продажи!V23*'Ежемесячные затраты'!$D$18</f>
        <v>64500</v>
      </c>
      <c r="V17" s="32">
        <f>'Ежемесячные затраты'!$F$14+'Ежемесячные затраты'!$F$15+'Ежемесячные затраты'!$E$18*(Продажи!W27+Продажи!W33+Продажи!W39+Продажи!W45)+Продажи!W22*Продажи!W23*'Ежемесячные затраты'!$D$18</f>
        <v>64500</v>
      </c>
      <c r="W17" s="32">
        <f>'Ежемесячные затраты'!$F$14+'Ежемесячные затраты'!$F$15+'Ежемесячные затраты'!$E$18*(Продажи!X27+Продажи!X33+Продажи!X39+Продажи!X45)+Продажи!X22*Продажи!X23*'Ежемесячные затраты'!$D$18</f>
        <v>64500</v>
      </c>
      <c r="X17" s="32">
        <f>'Ежемесячные затраты'!$F$14+'Ежемесячные затраты'!$F$15+'Ежемесячные затраты'!$E$18*(Продажи!Y27+Продажи!Y33+Продажи!Y39+Продажи!Y45)+Продажи!Y22*Продажи!Y23*'Ежемесячные затраты'!$D$18</f>
        <v>64500</v>
      </c>
      <c r="Y17" s="32">
        <f>'Ежемесячные затраты'!$F$14+'Ежемесячные затраты'!$F$15+'Ежемесячные затраты'!$E$18*(Продажи!Z27+Продажи!Z33+Продажи!Z39+Продажи!Z45)+Продажи!Z22*Продажи!Z23*'Ежемесячные затраты'!$D$18</f>
        <v>64500</v>
      </c>
      <c r="Z17" s="32">
        <f>'Ежемесячные затраты'!$F$14+'Ежемесячные затраты'!$F$15+'Ежемесячные затраты'!$E$18*(Продажи!AA27+Продажи!AA33+Продажи!AA39+Продажи!AA45)+Продажи!AA22*Продажи!AA23*'Ежемесячные затраты'!$D$18</f>
        <v>64500</v>
      </c>
      <c r="AA17" s="32">
        <f>'Ежемесячные затраты'!$F$14+'Ежемесячные затраты'!$F$15+'Ежемесячные затраты'!$E$18*(Продажи!AB27+Продажи!AB33+Продажи!AB39+Продажи!AB45)+Продажи!AB22*Продажи!AB23*'Ежемесячные затраты'!$D$18</f>
        <v>64500</v>
      </c>
      <c r="AB17" s="10"/>
    </row>
    <row r="18" spans="2:28" outlineLevel="1" x14ac:dyDescent="0.25">
      <c r="B18" s="8"/>
      <c r="C18" s="75" t="s">
        <v>76</v>
      </c>
      <c r="D18" s="32">
        <f>'Ежемесячные затраты'!$F$12</f>
        <v>23670</v>
      </c>
      <c r="E18" s="32">
        <f>'Ежемесячные затраты'!$F$12</f>
        <v>23670</v>
      </c>
      <c r="F18" s="32">
        <f>'Ежемесячные затраты'!$F$12</f>
        <v>23670</v>
      </c>
      <c r="G18" s="32">
        <f>'Ежемесячные затраты'!$F$12</f>
        <v>23670</v>
      </c>
      <c r="H18" s="32">
        <f>'Ежемесячные затраты'!$F$12</f>
        <v>23670</v>
      </c>
      <c r="I18" s="32">
        <f>'Ежемесячные затраты'!$F$12</f>
        <v>23670</v>
      </c>
      <c r="J18" s="32">
        <f>'Ежемесячные затраты'!$F$12</f>
        <v>23670</v>
      </c>
      <c r="K18" s="32">
        <f>'Ежемесячные затраты'!$F$12</f>
        <v>23670</v>
      </c>
      <c r="L18" s="32">
        <f>'Ежемесячные затраты'!$F$12</f>
        <v>23670</v>
      </c>
      <c r="M18" s="32">
        <f>'Ежемесячные затраты'!$F$12</f>
        <v>23670</v>
      </c>
      <c r="N18" s="32">
        <f>'Ежемесячные затраты'!$F$12</f>
        <v>23670</v>
      </c>
      <c r="O18" s="32">
        <f>'Ежемесячные затраты'!$F$12</f>
        <v>23670</v>
      </c>
      <c r="P18" s="32">
        <f>'Ежемесячные затраты'!$F$12</f>
        <v>23670</v>
      </c>
      <c r="Q18" s="32">
        <f>'Ежемесячные затраты'!$F$12</f>
        <v>23670</v>
      </c>
      <c r="R18" s="32">
        <f>'Ежемесячные затраты'!$F$12</f>
        <v>23670</v>
      </c>
      <c r="S18" s="32">
        <f>'Ежемесячные затраты'!$F$12</f>
        <v>23670</v>
      </c>
      <c r="T18" s="32">
        <f>'Ежемесячные затраты'!$F$12</f>
        <v>23670</v>
      </c>
      <c r="U18" s="32">
        <f>'Ежемесячные затраты'!$F$12</f>
        <v>23670</v>
      </c>
      <c r="V18" s="32">
        <f>'Ежемесячные затраты'!$F$12</f>
        <v>23670</v>
      </c>
      <c r="W18" s="32">
        <f>'Ежемесячные затраты'!$F$12</f>
        <v>23670</v>
      </c>
      <c r="X18" s="32">
        <f>'Ежемесячные затраты'!$F$12</f>
        <v>23670</v>
      </c>
      <c r="Y18" s="32">
        <f>'Ежемесячные затраты'!$F$12</f>
        <v>23670</v>
      </c>
      <c r="Z18" s="32">
        <f>'Ежемесячные затраты'!$F$12</f>
        <v>23670</v>
      </c>
      <c r="AA18" s="32">
        <f>'Ежемесячные затраты'!$F$12</f>
        <v>23670</v>
      </c>
      <c r="AB18" s="10"/>
    </row>
    <row r="19" spans="2:28" s="66" customFormat="1" outlineLevel="1" x14ac:dyDescent="0.25">
      <c r="B19" s="8"/>
      <c r="C19" s="75" t="s">
        <v>73</v>
      </c>
      <c r="D19" s="32">
        <f>(D15-(Продажи!E34-Продажи!E35))*6%</f>
        <v>3360</v>
      </c>
      <c r="E19" s="32">
        <f>(E15-(Продажи!F34-Продажи!F35))*6%</f>
        <v>10440</v>
      </c>
      <c r="F19" s="32">
        <f>(F15-(Продажи!G34-Продажи!G35))*6%</f>
        <v>19740.000000000004</v>
      </c>
      <c r="G19" s="32">
        <f>(G15-(Продажи!H34-Продажи!H35))*6%</f>
        <v>29940</v>
      </c>
      <c r="H19" s="32">
        <f>(H15-(Продажи!I34-Продажи!I35))*6%</f>
        <v>35400.000000000007</v>
      </c>
      <c r="I19" s="32">
        <f>(I15-(Продажи!J34-Продажи!J35))*6%</f>
        <v>41700.000000000007</v>
      </c>
      <c r="J19" s="32">
        <f>(J15-(Продажи!K34-Продажи!K35))*6%</f>
        <v>50700.000000000007</v>
      </c>
      <c r="K19" s="32">
        <f>(K15-(Продажи!L34-Продажи!L35))*6%</f>
        <v>59700.000000000007</v>
      </c>
      <c r="L19" s="32">
        <f>(L15-(Продажи!M34-Продажи!M35))*6%</f>
        <v>69600</v>
      </c>
      <c r="M19" s="32">
        <f>(M15-(Продажи!N34-Продажи!N35))*6%</f>
        <v>75900</v>
      </c>
      <c r="N19" s="32">
        <f>(N15-(Продажи!O34-Продажи!O35))*6%</f>
        <v>82200</v>
      </c>
      <c r="O19" s="32">
        <f>(O15-(Продажи!P34-Продажи!P35))*6%</f>
        <v>88500</v>
      </c>
      <c r="P19" s="32">
        <f>(P15-(Продажи!Q34-Продажи!Q35))*6%</f>
        <v>92880</v>
      </c>
      <c r="Q19" s="32">
        <f>(Q15-(Продажи!R34-Продажи!R35))*6%</f>
        <v>97680</v>
      </c>
      <c r="R19" s="32">
        <f>(R15-(Продажи!S34-Продажи!S35))*6%</f>
        <v>101280.00000000001</v>
      </c>
      <c r="S19" s="32">
        <f>(S15-(Продажи!T34-Продажи!T35))*6%</f>
        <v>101280.00000000001</v>
      </c>
      <c r="T19" s="32">
        <f>(T15-(Продажи!U34-Продажи!U35))*6%</f>
        <v>101280.00000000001</v>
      </c>
      <c r="U19" s="32">
        <f>(U15-(Продажи!V34-Продажи!V35))*6%</f>
        <v>101280.00000000001</v>
      </c>
      <c r="V19" s="32">
        <f>(V15-(Продажи!W34-Продажи!W35))*6%</f>
        <v>101280.00000000001</v>
      </c>
      <c r="W19" s="32">
        <f>(W15-(Продажи!X34-Продажи!X35))*6%</f>
        <v>101280.00000000001</v>
      </c>
      <c r="X19" s="32">
        <f>(X15-(Продажи!Y34-Продажи!Y35))*6%</f>
        <v>101280.00000000001</v>
      </c>
      <c r="Y19" s="32">
        <f>(Y15-(Продажи!Z34-Продажи!Z35))*6%</f>
        <v>101280.00000000001</v>
      </c>
      <c r="Z19" s="32">
        <f>(Z15-(Продажи!AA34-Продажи!AA35))*6%</f>
        <v>101280.00000000001</v>
      </c>
      <c r="AA19" s="32">
        <f>(AA15-(Продажи!AB34-Продажи!AB35))*6%</f>
        <v>101280.00000000001</v>
      </c>
      <c r="AB19" s="10"/>
    </row>
    <row r="20" spans="2:28" s="66" customFormat="1" outlineLevel="1" x14ac:dyDescent="0.25">
      <c r="B20" s="8"/>
      <c r="C20" s="75" t="s">
        <v>71</v>
      </c>
      <c r="D20" s="32">
        <f>'Ежемесячные затраты'!$F$22</f>
        <v>30000</v>
      </c>
      <c r="E20" s="32">
        <f>'Ежемесячные затраты'!$F$22</f>
        <v>30000</v>
      </c>
      <c r="F20" s="32">
        <f>'Ежемесячные затраты'!$F$22</f>
        <v>30000</v>
      </c>
      <c r="G20" s="32">
        <f>'Ежемесячные затраты'!$F$22</f>
        <v>30000</v>
      </c>
      <c r="H20" s="32">
        <f>'Ежемесячные затраты'!$F$22</f>
        <v>30000</v>
      </c>
      <c r="I20" s="32">
        <f>'Ежемесячные затраты'!$F$22</f>
        <v>30000</v>
      </c>
      <c r="J20" s="32">
        <f>'Ежемесячные затраты'!$F$22</f>
        <v>30000</v>
      </c>
      <c r="K20" s="32">
        <f>'Ежемесячные затраты'!$F$22</f>
        <v>30000</v>
      </c>
      <c r="L20" s="32">
        <f>'Ежемесячные затраты'!$F$22</f>
        <v>30000</v>
      </c>
      <c r="M20" s="32">
        <f>'Ежемесячные затраты'!$F$22</f>
        <v>30000</v>
      </c>
      <c r="N20" s="32">
        <f>'Ежемесячные затраты'!$F$22</f>
        <v>30000</v>
      </c>
      <c r="O20" s="32">
        <f>'Ежемесячные затраты'!$F$22</f>
        <v>30000</v>
      </c>
      <c r="P20" s="32">
        <f>'Ежемесячные затраты'!$F$22</f>
        <v>30000</v>
      </c>
      <c r="Q20" s="32">
        <f>'Ежемесячные затраты'!$F$22</f>
        <v>30000</v>
      </c>
      <c r="R20" s="32">
        <f>'Ежемесячные затраты'!$F$22</f>
        <v>30000</v>
      </c>
      <c r="S20" s="32">
        <f>'Ежемесячные затраты'!$F$22</f>
        <v>30000</v>
      </c>
      <c r="T20" s="32">
        <f>'Ежемесячные затраты'!$F$22</f>
        <v>30000</v>
      </c>
      <c r="U20" s="32">
        <f>'Ежемесячные затраты'!$F$22</f>
        <v>30000</v>
      </c>
      <c r="V20" s="32">
        <f>'Ежемесячные затраты'!$F$22</f>
        <v>30000</v>
      </c>
      <c r="W20" s="32">
        <f>'Ежемесячные затраты'!$F$22</f>
        <v>30000</v>
      </c>
      <c r="X20" s="32">
        <f>'Ежемесячные затраты'!$F$22</f>
        <v>30000</v>
      </c>
      <c r="Y20" s="32">
        <f>'Ежемесячные затраты'!$F$22</f>
        <v>30000</v>
      </c>
      <c r="Z20" s="32">
        <f>'Ежемесячные затраты'!$F$22</f>
        <v>30000</v>
      </c>
      <c r="AA20" s="32">
        <f>'Ежемесячные затраты'!$F$22</f>
        <v>30000</v>
      </c>
      <c r="AB20" s="10"/>
    </row>
    <row r="21" spans="2:28" s="83" customFormat="1" outlineLevel="1" x14ac:dyDescent="0.25">
      <c r="B21" s="8"/>
      <c r="C21" s="75" t="s">
        <v>74</v>
      </c>
      <c r="D21" s="32">
        <f>Продажи!E29*Продажи!$D$30+(Продажи!E34-Продажи!E35)*Продажи!$D$36+(Продажи!E40-Продажи!E41)*Продажи!$D$42+Продажи!E46*Продажи!$D$47</f>
        <v>11200</v>
      </c>
      <c r="E21" s="32">
        <f>Продажи!F29*Продажи!$D$30+(Продажи!F34-Продажи!F35)*Продажи!$D$36+(Продажи!F40-Продажи!F41)*Продажи!$D$42+Продажи!F46*Продажи!$D$47</f>
        <v>34800</v>
      </c>
      <c r="F21" s="32">
        <f>Продажи!G29*Продажи!$D$30+(Продажи!G34-Продажи!G35)*Продажи!$D$36+(Продажи!G40-Продажи!G41)*Продажи!$D$42+Продажи!G46*Продажи!$D$47</f>
        <v>227799.99999999997</v>
      </c>
      <c r="G21" s="32">
        <f>Продажи!H29*Продажи!$D$30+(Продажи!H34-Продажи!H35)*Продажи!$D$36+(Продажи!H40-Продажи!H41)*Продажи!$D$42+Продажи!H46*Продажи!$D$47</f>
        <v>369800</v>
      </c>
      <c r="H21" s="32">
        <f>Продажи!I29*Продажи!$D$30+(Продажи!I34-Продажи!I35)*Продажи!$D$36+(Продажи!I40-Продажи!I41)*Продажи!$D$42+Продажи!I46*Продажи!$D$47</f>
        <v>495999.99999999994</v>
      </c>
      <c r="I21" s="32">
        <f>Продажи!J29*Продажи!$D$30+(Продажи!J34-Продажи!J35)*Продажи!$D$36+(Продажи!J40-Продажи!J41)*Продажи!$D$42+Продажи!J46*Продажи!$D$47</f>
        <v>516999.99999999994</v>
      </c>
      <c r="J21" s="32">
        <f>Продажи!K29*Продажи!$D$30+(Продажи!K34-Продажи!K35)*Продажи!$D$36+(Продажи!K40-Продажи!K41)*Продажи!$D$42+Продажи!K46*Продажи!$D$47</f>
        <v>547000</v>
      </c>
      <c r="K21" s="32">
        <f>Продажи!L29*Продажи!$D$30+(Продажи!L34-Продажи!L35)*Продажи!$D$36+(Продажи!L40-Продажи!L41)*Продажи!$D$42+Продажи!L46*Продажи!$D$47</f>
        <v>577000</v>
      </c>
      <c r="L21" s="32">
        <f>Продажи!M29*Продажи!$D$30+(Продажи!M34-Продажи!M35)*Продажи!$D$36+(Продажи!M40-Продажи!M41)*Продажи!$D$42+Продажи!M46*Продажи!$D$47</f>
        <v>772000</v>
      </c>
      <c r="M21" s="32">
        <f>Продажи!N29*Продажи!$D$30+(Продажи!N34-Продажи!N35)*Продажи!$D$36+(Продажи!N40-Продажи!N41)*Продажи!$D$42+Продажи!N46*Продажи!$D$47</f>
        <v>793000</v>
      </c>
      <c r="N21" s="32">
        <f>Продажи!O29*Продажи!$D$30+(Продажи!O34-Продажи!O35)*Продажи!$D$36+(Продажи!O40-Продажи!O41)*Продажи!$D$42+Продажи!O46*Продажи!$D$47</f>
        <v>814000</v>
      </c>
      <c r="O21" s="32">
        <f>Продажи!P29*Продажи!$D$30+(Продажи!P34-Продажи!P35)*Продажи!$D$36+(Продажи!P40-Продажи!P41)*Продажи!$D$42+Продажи!P46*Продажи!$D$47</f>
        <v>835000</v>
      </c>
      <c r="P21" s="32">
        <f>Продажи!Q29*Продажи!$D$30+(Продажи!Q34-Продажи!Q35)*Продажи!$D$36+(Продажи!Q40-Продажи!Q41)*Продажи!$D$42+Продажи!Q46*Продажи!$D$47</f>
        <v>849600</v>
      </c>
      <c r="Q21" s="32">
        <f>Продажи!R29*Продажи!$D$30+(Продажи!R34-Продажи!R35)*Продажи!$D$36+(Продажи!R40-Продажи!R41)*Продажи!$D$42+Продажи!R46*Продажи!$D$47</f>
        <v>865600</v>
      </c>
      <c r="R21" s="32">
        <f>Продажи!S29*Продажи!$D$30+(Продажи!S34-Продажи!S35)*Продажи!$D$36+(Продажи!S40-Продажи!S41)*Продажи!$D$42+Продажи!S46*Продажи!$D$47</f>
        <v>1147600</v>
      </c>
      <c r="S21" s="32">
        <f>Продажи!T29*Продажи!$D$30+(Продажи!T34-Продажи!T35)*Продажи!$D$36+(Продажи!T40-Продажи!T41)*Продажи!$D$42+Продажи!T46*Продажи!$D$47</f>
        <v>1147600</v>
      </c>
      <c r="T21" s="32">
        <f>Продажи!U29*Продажи!$D$30+(Продажи!U34-Продажи!U35)*Продажи!$D$36+(Продажи!U40-Продажи!U41)*Продажи!$D$42+Продажи!U46*Продажи!$D$47</f>
        <v>1147600</v>
      </c>
      <c r="U21" s="32">
        <f>Продажи!V29*Продажи!$D$30+(Продажи!V34-Продажи!V35)*Продажи!$D$36+(Продажи!V40-Продажи!V41)*Продажи!$D$42+Продажи!V46*Продажи!$D$47</f>
        <v>1147600</v>
      </c>
      <c r="V21" s="32">
        <f>Продажи!W29*Продажи!$D$30+(Продажи!W34-Продажи!W35)*Продажи!$D$36+(Продажи!W40-Продажи!W41)*Продажи!$D$42+Продажи!W46*Продажи!$D$47</f>
        <v>1147600</v>
      </c>
      <c r="W21" s="32">
        <f>Продажи!X29*Продажи!$D$30+(Продажи!X34-Продажи!X35)*Продажи!$D$36+(Продажи!X40-Продажи!X41)*Продажи!$D$42+Продажи!X46*Продажи!$D$47</f>
        <v>1147600</v>
      </c>
      <c r="X21" s="32">
        <f>Продажи!Y29*Продажи!$D$30+(Продажи!Y34-Продажи!Y35)*Продажи!$D$36+(Продажи!Y40-Продажи!Y41)*Продажи!$D$42+Продажи!Y46*Продажи!$D$47</f>
        <v>1147600</v>
      </c>
      <c r="Y21" s="32">
        <f>Продажи!Z29*Продажи!$D$30+(Продажи!Z34-Продажи!Z35)*Продажи!$D$36+(Продажи!Z40-Продажи!Z41)*Продажи!$D$42+Продажи!Z46*Продажи!$D$47</f>
        <v>1147600</v>
      </c>
      <c r="Z21" s="32">
        <f>Продажи!AA29*Продажи!$D$30+(Продажи!AA34-Продажи!AA35)*Продажи!$D$36+(Продажи!AA40-Продажи!AA41)*Продажи!$D$42+Продажи!AA46*Продажи!$D$47</f>
        <v>1147600</v>
      </c>
      <c r="AA21" s="32">
        <f>Продажи!AB29*Продажи!$D$30+(Продажи!AB34-Продажи!AB35)*Продажи!$D$36+(Продажи!AB40-Продажи!AB41)*Продажи!$D$42+Продажи!AB46*Продажи!$D$47</f>
        <v>1147600</v>
      </c>
      <c r="AB21" s="10"/>
    </row>
    <row r="22" spans="2:28" ht="15.75" customHeight="1" x14ac:dyDescent="0.25">
      <c r="B22" s="8"/>
      <c r="C22" s="38" t="s">
        <v>9</v>
      </c>
      <c r="D22" s="37">
        <f>'Инвестиции на орг-цию бизнеса'!F16</f>
        <v>430000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10"/>
    </row>
    <row r="23" spans="2:28" s="42" customFormat="1" ht="15.75" customHeight="1" x14ac:dyDescent="0.25">
      <c r="B23" s="8"/>
      <c r="C23" s="56" t="s">
        <v>44</v>
      </c>
      <c r="D23" s="57">
        <f>D15-D16</f>
        <v>-50930</v>
      </c>
      <c r="E23" s="57">
        <f t="shared" ref="E23:AA23" si="1">E15-E16</f>
        <v>27690</v>
      </c>
      <c r="F23" s="57">
        <f t="shared" si="1"/>
        <v>295990</v>
      </c>
      <c r="G23" s="57">
        <f t="shared" si="1"/>
        <v>526090</v>
      </c>
      <c r="H23" s="57">
        <f t="shared" si="1"/>
        <v>704230</v>
      </c>
      <c r="I23" s="57">
        <f t="shared" si="1"/>
        <v>779130</v>
      </c>
      <c r="J23" s="57">
        <f t="shared" si="1"/>
        <v>888130</v>
      </c>
      <c r="K23" s="57">
        <f t="shared" si="1"/>
        <v>999130</v>
      </c>
      <c r="L23" s="57">
        <f t="shared" si="1"/>
        <v>1283230</v>
      </c>
      <c r="M23" s="57">
        <f t="shared" si="1"/>
        <v>1360930</v>
      </c>
      <c r="N23" s="57">
        <f t="shared" si="1"/>
        <v>1438630</v>
      </c>
      <c r="O23" s="57">
        <f t="shared" si="1"/>
        <v>1516330</v>
      </c>
      <c r="P23" s="57">
        <f t="shared" si="1"/>
        <v>1572950</v>
      </c>
      <c r="Q23" s="57">
        <f t="shared" si="1"/>
        <v>1626550</v>
      </c>
      <c r="R23" s="57">
        <f t="shared" si="1"/>
        <v>1940950</v>
      </c>
      <c r="S23" s="57">
        <f t="shared" si="1"/>
        <v>1940950</v>
      </c>
      <c r="T23" s="57">
        <f t="shared" si="1"/>
        <v>1943750</v>
      </c>
      <c r="U23" s="57">
        <f t="shared" si="1"/>
        <v>1940950</v>
      </c>
      <c r="V23" s="57">
        <f t="shared" si="1"/>
        <v>1940950</v>
      </c>
      <c r="W23" s="57">
        <f t="shared" si="1"/>
        <v>1940950</v>
      </c>
      <c r="X23" s="57">
        <f t="shared" si="1"/>
        <v>1940950</v>
      </c>
      <c r="Y23" s="57">
        <f t="shared" si="1"/>
        <v>1940950</v>
      </c>
      <c r="Z23" s="57">
        <f t="shared" si="1"/>
        <v>1940950</v>
      </c>
      <c r="AA23" s="57">
        <f t="shared" si="1"/>
        <v>1940950</v>
      </c>
      <c r="AB23" s="10"/>
    </row>
    <row r="24" spans="2:28" s="42" customFormat="1" ht="15.75" customHeight="1" x14ac:dyDescent="0.25">
      <c r="B24" s="8"/>
      <c r="C24" s="58" t="s">
        <v>45</v>
      </c>
      <c r="D24" s="57">
        <f>D23</f>
        <v>-50930</v>
      </c>
      <c r="E24" s="57">
        <f>D24+E23</f>
        <v>-23240</v>
      </c>
      <c r="F24" s="57">
        <f>E24+F23</f>
        <v>272750</v>
      </c>
      <c r="G24" s="57">
        <f t="shared" ref="G24:AA24" si="2">F24+G23</f>
        <v>798840</v>
      </c>
      <c r="H24" s="57">
        <f t="shared" si="2"/>
        <v>1503070</v>
      </c>
      <c r="I24" s="57">
        <f t="shared" si="2"/>
        <v>2282200</v>
      </c>
      <c r="J24" s="57">
        <f t="shared" si="2"/>
        <v>3170330</v>
      </c>
      <c r="K24" s="57">
        <f t="shared" si="2"/>
        <v>4169460</v>
      </c>
      <c r="L24" s="57">
        <f t="shared" si="2"/>
        <v>5452690</v>
      </c>
      <c r="M24" s="57">
        <f t="shared" si="2"/>
        <v>6813620</v>
      </c>
      <c r="N24" s="57">
        <f t="shared" si="2"/>
        <v>8252250</v>
      </c>
      <c r="O24" s="57">
        <f t="shared" si="2"/>
        <v>9768580</v>
      </c>
      <c r="P24" s="57">
        <f t="shared" si="2"/>
        <v>11341530</v>
      </c>
      <c r="Q24" s="57">
        <f t="shared" si="2"/>
        <v>12968080</v>
      </c>
      <c r="R24" s="57">
        <f t="shared" si="2"/>
        <v>14909030</v>
      </c>
      <c r="S24" s="57">
        <f t="shared" si="2"/>
        <v>16849980</v>
      </c>
      <c r="T24" s="57">
        <f t="shared" si="2"/>
        <v>18793730</v>
      </c>
      <c r="U24" s="57">
        <f t="shared" si="2"/>
        <v>20734680</v>
      </c>
      <c r="V24" s="57">
        <f t="shared" si="2"/>
        <v>22675630</v>
      </c>
      <c r="W24" s="57">
        <f t="shared" si="2"/>
        <v>24616580</v>
      </c>
      <c r="X24" s="57">
        <f t="shared" si="2"/>
        <v>26557530</v>
      </c>
      <c r="Y24" s="57">
        <f t="shared" si="2"/>
        <v>28498480</v>
      </c>
      <c r="Z24" s="57">
        <f t="shared" si="2"/>
        <v>30439430</v>
      </c>
      <c r="AA24" s="57">
        <f t="shared" si="2"/>
        <v>32380380</v>
      </c>
      <c r="AB24" s="10"/>
    </row>
    <row r="25" spans="2:28" ht="15.75" customHeight="1" x14ac:dyDescent="0.25">
      <c r="B25" s="8"/>
      <c r="C25" s="38" t="s">
        <v>43</v>
      </c>
      <c r="D25" s="37">
        <f>D24-D22</f>
        <v>-480930</v>
      </c>
      <c r="E25" s="37">
        <f>D25+E23</f>
        <v>-453240</v>
      </c>
      <c r="F25" s="37">
        <f t="shared" ref="F25:AA25" si="3">E25+F23</f>
        <v>-157250</v>
      </c>
      <c r="G25" s="37">
        <f t="shared" si="3"/>
        <v>368840</v>
      </c>
      <c r="H25" s="37">
        <f t="shared" si="3"/>
        <v>1073070</v>
      </c>
      <c r="I25" s="37">
        <f t="shared" si="3"/>
        <v>1852200</v>
      </c>
      <c r="J25" s="37">
        <f t="shared" si="3"/>
        <v>2740330</v>
      </c>
      <c r="K25" s="37">
        <f t="shared" si="3"/>
        <v>3739460</v>
      </c>
      <c r="L25" s="37">
        <f t="shared" si="3"/>
        <v>5022690</v>
      </c>
      <c r="M25" s="37">
        <f t="shared" si="3"/>
        <v>6383620</v>
      </c>
      <c r="N25" s="37">
        <f t="shared" si="3"/>
        <v>7822250</v>
      </c>
      <c r="O25" s="37">
        <f t="shared" si="3"/>
        <v>9338580</v>
      </c>
      <c r="P25" s="37">
        <f t="shared" si="3"/>
        <v>10911530</v>
      </c>
      <c r="Q25" s="37">
        <f t="shared" si="3"/>
        <v>12538080</v>
      </c>
      <c r="R25" s="37">
        <f t="shared" si="3"/>
        <v>14479030</v>
      </c>
      <c r="S25" s="37">
        <f t="shared" si="3"/>
        <v>16419980</v>
      </c>
      <c r="T25" s="37">
        <f t="shared" si="3"/>
        <v>18363730</v>
      </c>
      <c r="U25" s="37">
        <f t="shared" si="3"/>
        <v>20304680</v>
      </c>
      <c r="V25" s="37">
        <f t="shared" si="3"/>
        <v>22245630</v>
      </c>
      <c r="W25" s="37">
        <f t="shared" si="3"/>
        <v>24186580</v>
      </c>
      <c r="X25" s="37">
        <f t="shared" si="3"/>
        <v>26127530</v>
      </c>
      <c r="Y25" s="37">
        <f t="shared" si="3"/>
        <v>28068480</v>
      </c>
      <c r="Z25" s="37">
        <f t="shared" si="3"/>
        <v>30009430</v>
      </c>
      <c r="AA25" s="37">
        <f t="shared" si="3"/>
        <v>31950380</v>
      </c>
      <c r="AB25" s="10"/>
    </row>
    <row r="26" spans="2:28" x14ac:dyDescent="0.25">
      <c r="B26" s="8"/>
      <c r="C26" s="153" t="s">
        <v>10</v>
      </c>
      <c r="D26" s="39" t="str">
        <f>IF(D25&lt;0,"",D12)</f>
        <v/>
      </c>
      <c r="E26" s="39" t="str">
        <f t="shared" ref="E26:AA26" si="4">IF(E25&lt;0,"",IF(D25&gt;0,"",E12))</f>
        <v/>
      </c>
      <c r="F26" s="39" t="str">
        <f t="shared" si="4"/>
        <v/>
      </c>
      <c r="G26" s="39">
        <f t="shared" si="4"/>
        <v>4</v>
      </c>
      <c r="H26" s="39" t="str">
        <f t="shared" si="4"/>
        <v/>
      </c>
      <c r="I26" s="39" t="str">
        <f t="shared" si="4"/>
        <v/>
      </c>
      <c r="J26" s="39" t="str">
        <f t="shared" si="4"/>
        <v/>
      </c>
      <c r="K26" s="39" t="str">
        <f t="shared" si="4"/>
        <v/>
      </c>
      <c r="L26" s="39" t="str">
        <f t="shared" si="4"/>
        <v/>
      </c>
      <c r="M26" s="39" t="str">
        <f t="shared" si="4"/>
        <v/>
      </c>
      <c r="N26" s="39" t="str">
        <f t="shared" si="4"/>
        <v/>
      </c>
      <c r="O26" s="39" t="str">
        <f t="shared" si="4"/>
        <v/>
      </c>
      <c r="P26" s="39" t="str">
        <f t="shared" si="4"/>
        <v/>
      </c>
      <c r="Q26" s="39" t="str">
        <f t="shared" si="4"/>
        <v/>
      </c>
      <c r="R26" s="39" t="str">
        <f t="shared" si="4"/>
        <v/>
      </c>
      <c r="S26" s="39" t="str">
        <f t="shared" si="4"/>
        <v/>
      </c>
      <c r="T26" s="39" t="str">
        <f t="shared" si="4"/>
        <v/>
      </c>
      <c r="U26" s="39" t="str">
        <f t="shared" si="4"/>
        <v/>
      </c>
      <c r="V26" s="39" t="str">
        <f t="shared" si="4"/>
        <v/>
      </c>
      <c r="W26" s="39" t="str">
        <f t="shared" si="4"/>
        <v/>
      </c>
      <c r="X26" s="39" t="str">
        <f t="shared" si="4"/>
        <v/>
      </c>
      <c r="Y26" s="39" t="str">
        <f t="shared" si="4"/>
        <v/>
      </c>
      <c r="Z26" s="39" t="str">
        <f t="shared" si="4"/>
        <v/>
      </c>
      <c r="AA26" s="39" t="str">
        <f t="shared" si="4"/>
        <v/>
      </c>
      <c r="AB26" s="10"/>
    </row>
    <row r="27" spans="2:28" x14ac:dyDescent="0.25">
      <c r="B27" s="8"/>
      <c r="C27" s="33"/>
      <c r="D27" s="33"/>
      <c r="E27" s="33"/>
      <c r="F27" s="33"/>
      <c r="G27" s="33"/>
      <c r="H27" s="33"/>
      <c r="I27" s="33"/>
      <c r="J27" s="28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10"/>
    </row>
    <row r="28" spans="2:28" x14ac:dyDescent="0.25">
      <c r="B28" s="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10"/>
    </row>
    <row r="29" spans="2:28" x14ac:dyDescent="0.25">
      <c r="B29" s="8"/>
      <c r="C29" s="188" t="s">
        <v>25</v>
      </c>
      <c r="D29" s="190"/>
      <c r="E29" s="190"/>
      <c r="F29" s="18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10"/>
    </row>
    <row r="30" spans="2:28" x14ac:dyDescent="0.25">
      <c r="B30" s="8"/>
      <c r="C30" s="188" t="s">
        <v>41</v>
      </c>
      <c r="D30" s="189"/>
      <c r="E30" s="186">
        <f>AVERAGE(D23:AA23)</f>
        <v>1349182.5</v>
      </c>
      <c r="F30" s="186"/>
      <c r="H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10"/>
    </row>
    <row r="31" spans="2:28" s="66" customFormat="1" ht="99" customHeight="1" x14ac:dyDescent="0.25">
      <c r="B31" s="8"/>
      <c r="C31" s="33"/>
      <c r="D31" s="33"/>
      <c r="E31" s="76"/>
      <c r="F31" s="76"/>
      <c r="H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10"/>
    </row>
    <row r="32" spans="2:28" ht="378" customHeight="1" x14ac:dyDescent="0.25"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0"/>
    </row>
    <row r="33" spans="2:28" ht="15.75" thickBot="1" x14ac:dyDescent="0.3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</row>
    <row r="35" spans="2:28" ht="15" customHeight="1" x14ac:dyDescent="0.25"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8" ht="15" customHeight="1" x14ac:dyDescent="0.25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</sheetData>
  <mergeCells count="9">
    <mergeCell ref="B3:AB3"/>
    <mergeCell ref="B4:AB4"/>
    <mergeCell ref="E30:F30"/>
    <mergeCell ref="C10:AA10"/>
    <mergeCell ref="C30:D30"/>
    <mergeCell ref="C29:F29"/>
    <mergeCell ref="D6:E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6"/>
  <sheetViews>
    <sheetView zoomScale="70" zoomScaleNormal="70" workbookViewId="0"/>
  </sheetViews>
  <sheetFormatPr defaultRowHeight="15" x14ac:dyDescent="0.25"/>
  <cols>
    <col min="1" max="2" width="9.140625" style="125"/>
    <col min="3" max="3" width="46.140625" style="125" customWidth="1"/>
    <col min="4" max="4" width="10.5703125" style="125" customWidth="1"/>
    <col min="5" max="5" width="11.28515625" style="125" customWidth="1"/>
    <col min="6" max="7" width="10.28515625" style="125" customWidth="1"/>
    <col min="8" max="8" width="9.140625" style="125"/>
    <col min="9" max="9" width="11.7109375" style="125" customWidth="1"/>
    <col min="10" max="10" width="20.140625" style="125" customWidth="1"/>
    <col min="11" max="115" width="9.140625" style="125"/>
  </cols>
  <sheetData>
    <row r="1" spans="1:11" ht="15.75" thickBot="1" x14ac:dyDescent="0.3">
      <c r="B1" s="130"/>
      <c r="C1" s="130"/>
      <c r="D1" s="130"/>
      <c r="E1" s="130"/>
      <c r="F1" s="130"/>
      <c r="G1" s="130"/>
      <c r="H1" s="130"/>
      <c r="I1" s="130"/>
      <c r="J1" s="130"/>
    </row>
    <row r="2" spans="1:11" x14ac:dyDescent="0.25">
      <c r="A2" s="128"/>
      <c r="B2" s="132"/>
      <c r="C2" s="133"/>
      <c r="D2" s="133"/>
      <c r="E2" s="133"/>
      <c r="F2" s="133"/>
      <c r="G2" s="133"/>
      <c r="H2" s="133"/>
      <c r="I2" s="133"/>
      <c r="J2" s="134"/>
      <c r="K2" s="129"/>
    </row>
    <row r="3" spans="1:11" ht="20.25" x14ac:dyDescent="0.3">
      <c r="A3" s="128"/>
      <c r="B3" s="155" t="s">
        <v>284</v>
      </c>
      <c r="C3" s="156"/>
      <c r="D3" s="156"/>
      <c r="E3" s="156"/>
      <c r="F3" s="156"/>
      <c r="G3" s="156"/>
      <c r="H3" s="156"/>
      <c r="I3" s="156"/>
      <c r="J3" s="157"/>
      <c r="K3" s="129"/>
    </row>
    <row r="4" spans="1:11" ht="20.25" x14ac:dyDescent="0.3">
      <c r="A4" s="128"/>
      <c r="B4" s="155" t="s">
        <v>293</v>
      </c>
      <c r="C4" s="156"/>
      <c r="D4" s="156"/>
      <c r="E4" s="156"/>
      <c r="F4" s="156"/>
      <c r="G4" s="156"/>
      <c r="H4" s="156"/>
      <c r="I4" s="156"/>
      <c r="J4" s="157"/>
      <c r="K4" s="129"/>
    </row>
    <row r="5" spans="1:11" x14ac:dyDescent="0.25">
      <c r="A5" s="128"/>
      <c r="B5" s="96"/>
      <c r="C5" s="97"/>
      <c r="D5" s="97"/>
      <c r="E5" s="97"/>
      <c r="F5" s="97"/>
      <c r="G5" s="97"/>
      <c r="H5" s="97"/>
      <c r="I5" s="97"/>
      <c r="J5" s="98"/>
      <c r="K5" s="129"/>
    </row>
    <row r="6" spans="1:11" x14ac:dyDescent="0.25">
      <c r="A6" s="128"/>
      <c r="B6" s="99"/>
      <c r="C6" s="100"/>
      <c r="D6" s="101" t="s">
        <v>17</v>
      </c>
      <c r="E6" s="102"/>
      <c r="F6" s="102"/>
      <c r="G6" s="102"/>
      <c r="H6" s="102"/>
      <c r="I6" s="100"/>
      <c r="J6" s="103"/>
      <c r="K6" s="129"/>
    </row>
    <row r="7" spans="1:11" x14ac:dyDescent="0.25">
      <c r="A7" s="128"/>
      <c r="B7" s="99"/>
      <c r="C7" s="104"/>
      <c r="D7" s="126"/>
      <c r="E7" s="193" t="s">
        <v>12</v>
      </c>
      <c r="F7" s="194"/>
      <c r="G7" s="194"/>
      <c r="H7" s="105"/>
      <c r="I7" s="105"/>
      <c r="J7" s="106"/>
      <c r="K7" s="129"/>
    </row>
    <row r="8" spans="1:11" x14ac:dyDescent="0.25">
      <c r="A8" s="128"/>
      <c r="B8" s="99"/>
      <c r="C8" s="104"/>
      <c r="D8" s="127"/>
      <c r="E8" s="193" t="s">
        <v>13</v>
      </c>
      <c r="F8" s="194"/>
      <c r="G8" s="194"/>
      <c r="H8" s="105"/>
      <c r="I8" s="105"/>
      <c r="J8" s="106"/>
      <c r="K8" s="129"/>
    </row>
    <row r="9" spans="1:11" x14ac:dyDescent="0.25">
      <c r="A9" s="128"/>
      <c r="B9" s="99"/>
      <c r="C9" s="107"/>
      <c r="D9" s="108"/>
      <c r="E9" s="107"/>
      <c r="F9" s="107"/>
      <c r="G9" s="107"/>
      <c r="H9" s="107"/>
      <c r="I9" s="107"/>
      <c r="J9" s="109"/>
      <c r="K9" s="129"/>
    </row>
    <row r="10" spans="1:11" ht="20.25" x14ac:dyDescent="0.3">
      <c r="A10" s="128"/>
      <c r="B10" s="110"/>
      <c r="C10" s="180" t="s">
        <v>285</v>
      </c>
      <c r="D10" s="180"/>
      <c r="E10" s="180"/>
      <c r="F10" s="180"/>
      <c r="G10" s="180"/>
      <c r="H10" s="180"/>
      <c r="I10" s="180"/>
      <c r="J10" s="111"/>
      <c r="K10" s="129"/>
    </row>
    <row r="11" spans="1:11" ht="60" x14ac:dyDescent="0.25">
      <c r="A11" s="128"/>
      <c r="B11" s="110"/>
      <c r="C11" s="112" t="s">
        <v>85</v>
      </c>
      <c r="D11" s="112" t="s">
        <v>86</v>
      </c>
      <c r="E11" s="112" t="s">
        <v>87</v>
      </c>
      <c r="F11" s="112" t="s">
        <v>88</v>
      </c>
      <c r="G11" s="112" t="s">
        <v>89</v>
      </c>
      <c r="H11" s="112" t="s">
        <v>90</v>
      </c>
      <c r="I11" s="112" t="s">
        <v>91</v>
      </c>
      <c r="J11" s="113"/>
      <c r="K11" s="129"/>
    </row>
    <row r="12" spans="1:11" x14ac:dyDescent="0.25">
      <c r="A12" s="128"/>
      <c r="B12" s="110"/>
      <c r="C12" s="114" t="s">
        <v>92</v>
      </c>
      <c r="D12" s="115">
        <v>22069</v>
      </c>
      <c r="E12" s="115">
        <f>D12/12</f>
        <v>1839.0833333333333</v>
      </c>
      <c r="F12" s="115" t="s">
        <v>93</v>
      </c>
      <c r="G12" s="115" t="s">
        <v>94</v>
      </c>
      <c r="H12" s="115" t="s">
        <v>95</v>
      </c>
      <c r="I12" s="115">
        <v>428</v>
      </c>
      <c r="J12" s="113"/>
      <c r="K12" s="129"/>
    </row>
    <row r="13" spans="1:11" x14ac:dyDescent="0.25">
      <c r="A13" s="128"/>
      <c r="B13" s="110"/>
      <c r="C13" s="114" t="s">
        <v>96</v>
      </c>
      <c r="D13" s="115">
        <v>12528</v>
      </c>
      <c r="E13" s="115">
        <f t="shared" ref="E13:E61" si="0">D13/12</f>
        <v>1044</v>
      </c>
      <c r="F13" s="115" t="s">
        <v>97</v>
      </c>
      <c r="G13" s="115" t="s">
        <v>98</v>
      </c>
      <c r="H13" s="115" t="s">
        <v>99</v>
      </c>
      <c r="I13" s="115">
        <v>1116</v>
      </c>
      <c r="J13" s="113"/>
      <c r="K13" s="129"/>
    </row>
    <row r="14" spans="1:11" x14ac:dyDescent="0.25">
      <c r="A14" s="128"/>
      <c r="B14" s="110"/>
      <c r="C14" s="114" t="s">
        <v>100</v>
      </c>
      <c r="D14" s="115">
        <v>10830</v>
      </c>
      <c r="E14" s="115">
        <f t="shared" si="0"/>
        <v>902.5</v>
      </c>
      <c r="F14" s="115" t="s">
        <v>101</v>
      </c>
      <c r="G14" s="115" t="s">
        <v>102</v>
      </c>
      <c r="H14" s="115" t="s">
        <v>103</v>
      </c>
      <c r="I14" s="115">
        <v>13</v>
      </c>
      <c r="J14" s="113"/>
      <c r="K14" s="129"/>
    </row>
    <row r="15" spans="1:11" x14ac:dyDescent="0.25">
      <c r="A15" s="128"/>
      <c r="B15" s="110"/>
      <c r="C15" s="114" t="s">
        <v>104</v>
      </c>
      <c r="D15" s="115">
        <v>10812</v>
      </c>
      <c r="E15" s="115">
        <f t="shared" si="0"/>
        <v>901</v>
      </c>
      <c r="F15" s="115" t="s">
        <v>105</v>
      </c>
      <c r="G15" s="115" t="s">
        <v>106</v>
      </c>
      <c r="H15" s="115" t="s">
        <v>107</v>
      </c>
      <c r="I15" s="115">
        <v>8</v>
      </c>
      <c r="J15" s="113"/>
      <c r="K15" s="129"/>
    </row>
    <row r="16" spans="1:11" x14ac:dyDescent="0.25">
      <c r="A16" s="128"/>
      <c r="B16" s="110"/>
      <c r="C16" s="114" t="s">
        <v>108</v>
      </c>
      <c r="D16" s="115">
        <v>9491</v>
      </c>
      <c r="E16" s="115">
        <f t="shared" si="0"/>
        <v>790.91666666666663</v>
      </c>
      <c r="F16" s="115" t="s">
        <v>109</v>
      </c>
      <c r="G16" s="115" t="s">
        <v>110</v>
      </c>
      <c r="H16" s="115" t="s">
        <v>111</v>
      </c>
      <c r="I16" s="115">
        <v>230</v>
      </c>
      <c r="J16" s="113"/>
      <c r="K16" s="129"/>
    </row>
    <row r="17" spans="1:11" x14ac:dyDescent="0.25">
      <c r="A17" s="128"/>
      <c r="B17" s="110"/>
      <c r="C17" s="114" t="s">
        <v>112</v>
      </c>
      <c r="D17" s="115">
        <v>9265</v>
      </c>
      <c r="E17" s="115">
        <f t="shared" si="0"/>
        <v>772.08333333333337</v>
      </c>
      <c r="F17" s="115" t="s">
        <v>113</v>
      </c>
      <c r="G17" s="115" t="s">
        <v>114</v>
      </c>
      <c r="H17" s="115" t="s">
        <v>115</v>
      </c>
      <c r="I17" s="115">
        <v>208</v>
      </c>
      <c r="J17" s="113"/>
      <c r="K17" s="129"/>
    </row>
    <row r="18" spans="1:11" x14ac:dyDescent="0.25">
      <c r="A18" s="128"/>
      <c r="B18" s="116"/>
      <c r="C18" s="114" t="s">
        <v>116</v>
      </c>
      <c r="D18" s="115">
        <v>8877</v>
      </c>
      <c r="E18" s="115">
        <f t="shared" si="0"/>
        <v>739.75</v>
      </c>
      <c r="F18" s="115" t="s">
        <v>117</v>
      </c>
      <c r="G18" s="115" t="s">
        <v>118</v>
      </c>
      <c r="H18" s="115" t="s">
        <v>119</v>
      </c>
      <c r="I18" s="115">
        <v>11</v>
      </c>
      <c r="J18" s="117"/>
      <c r="K18" s="129"/>
    </row>
    <row r="19" spans="1:11" x14ac:dyDescent="0.25">
      <c r="A19" s="128"/>
      <c r="B19" s="116"/>
      <c r="C19" s="114" t="s">
        <v>120</v>
      </c>
      <c r="D19" s="115">
        <v>8676</v>
      </c>
      <c r="E19" s="115">
        <f t="shared" si="0"/>
        <v>723</v>
      </c>
      <c r="F19" s="115" t="s">
        <v>121</v>
      </c>
      <c r="G19" s="115" t="s">
        <v>122</v>
      </c>
      <c r="H19" s="115" t="s">
        <v>123</v>
      </c>
      <c r="I19" s="115">
        <v>12</v>
      </c>
      <c r="J19" s="117"/>
      <c r="K19" s="129"/>
    </row>
    <row r="20" spans="1:11" x14ac:dyDescent="0.25">
      <c r="A20" s="128"/>
      <c r="B20" s="116"/>
      <c r="C20" s="114" t="s">
        <v>124</v>
      </c>
      <c r="D20" s="115">
        <v>8579</v>
      </c>
      <c r="E20" s="115">
        <f t="shared" si="0"/>
        <v>714.91666666666663</v>
      </c>
      <c r="F20" s="115" t="s">
        <v>125</v>
      </c>
      <c r="G20" s="115" t="s">
        <v>126</v>
      </c>
      <c r="H20" s="115" t="s">
        <v>127</v>
      </c>
      <c r="I20" s="115">
        <v>9</v>
      </c>
      <c r="J20" s="117"/>
      <c r="K20" s="129"/>
    </row>
    <row r="21" spans="1:11" x14ac:dyDescent="0.25">
      <c r="A21" s="128"/>
      <c r="B21" s="116"/>
      <c r="C21" s="114" t="s">
        <v>128</v>
      </c>
      <c r="D21" s="115">
        <v>8557</v>
      </c>
      <c r="E21" s="115">
        <f t="shared" si="0"/>
        <v>713.08333333333337</v>
      </c>
      <c r="F21" s="115" t="s">
        <v>129</v>
      </c>
      <c r="G21" s="115" t="s">
        <v>130</v>
      </c>
      <c r="H21" s="115" t="s">
        <v>131</v>
      </c>
      <c r="I21" s="115">
        <v>119</v>
      </c>
      <c r="J21" s="117"/>
      <c r="K21" s="129"/>
    </row>
    <row r="22" spans="1:11" x14ac:dyDescent="0.25">
      <c r="A22" s="128"/>
      <c r="B22" s="116"/>
      <c r="C22" s="114" t="s">
        <v>132</v>
      </c>
      <c r="D22" s="115">
        <v>8548</v>
      </c>
      <c r="E22" s="115">
        <f t="shared" si="0"/>
        <v>712.33333333333337</v>
      </c>
      <c r="F22" s="115" t="s">
        <v>133</v>
      </c>
      <c r="G22" s="115" t="s">
        <v>134</v>
      </c>
      <c r="H22" s="115" t="s">
        <v>135</v>
      </c>
      <c r="I22" s="115">
        <v>11</v>
      </c>
      <c r="J22" s="117"/>
      <c r="K22" s="129"/>
    </row>
    <row r="23" spans="1:11" x14ac:dyDescent="0.25">
      <c r="A23" s="128"/>
      <c r="B23" s="116"/>
      <c r="C23" s="114" t="s">
        <v>136</v>
      </c>
      <c r="D23" s="115">
        <v>8223</v>
      </c>
      <c r="E23" s="115">
        <f t="shared" si="0"/>
        <v>685.25</v>
      </c>
      <c r="F23" s="115" t="s">
        <v>137</v>
      </c>
      <c r="G23" s="115" t="s">
        <v>138</v>
      </c>
      <c r="H23" s="115" t="s">
        <v>139</v>
      </c>
      <c r="I23" s="115">
        <v>100</v>
      </c>
      <c r="J23" s="117"/>
      <c r="K23" s="129"/>
    </row>
    <row r="24" spans="1:11" x14ac:dyDescent="0.25">
      <c r="A24" s="128"/>
      <c r="B24" s="116"/>
      <c r="C24" s="114" t="s">
        <v>140</v>
      </c>
      <c r="D24" s="115">
        <v>8022</v>
      </c>
      <c r="E24" s="115">
        <f t="shared" si="0"/>
        <v>668.5</v>
      </c>
      <c r="F24" s="115" t="s">
        <v>141</v>
      </c>
      <c r="G24" s="115" t="s">
        <v>142</v>
      </c>
      <c r="H24" s="115" t="s">
        <v>143</v>
      </c>
      <c r="I24" s="115">
        <v>49</v>
      </c>
      <c r="J24" s="117"/>
      <c r="K24" s="129"/>
    </row>
    <row r="25" spans="1:11" x14ac:dyDescent="0.25">
      <c r="A25" s="128"/>
      <c r="B25" s="116"/>
      <c r="C25" s="114" t="s">
        <v>144</v>
      </c>
      <c r="D25" s="115">
        <v>8003</v>
      </c>
      <c r="E25" s="115">
        <f t="shared" si="0"/>
        <v>666.91666666666663</v>
      </c>
      <c r="F25" s="115" t="s">
        <v>145</v>
      </c>
      <c r="G25" s="115" t="s">
        <v>146</v>
      </c>
      <c r="H25" s="115" t="s">
        <v>147</v>
      </c>
      <c r="I25" s="115">
        <v>74</v>
      </c>
      <c r="J25" s="117"/>
      <c r="K25" s="129"/>
    </row>
    <row r="26" spans="1:11" x14ac:dyDescent="0.25">
      <c r="A26" s="128"/>
      <c r="B26" s="116"/>
      <c r="C26" s="114" t="s">
        <v>148</v>
      </c>
      <c r="D26" s="115">
        <v>7943</v>
      </c>
      <c r="E26" s="115">
        <f t="shared" si="0"/>
        <v>661.91666666666663</v>
      </c>
      <c r="F26" s="115" t="s">
        <v>149</v>
      </c>
      <c r="G26" s="115" t="s">
        <v>150</v>
      </c>
      <c r="H26" s="115" t="s">
        <v>151</v>
      </c>
      <c r="I26" s="115">
        <v>148</v>
      </c>
      <c r="J26" s="117"/>
      <c r="K26" s="129"/>
    </row>
    <row r="27" spans="1:11" x14ac:dyDescent="0.25">
      <c r="A27" s="128"/>
      <c r="B27" s="116"/>
      <c r="C27" s="114" t="s">
        <v>152</v>
      </c>
      <c r="D27" s="115">
        <v>7914</v>
      </c>
      <c r="E27" s="115">
        <f t="shared" si="0"/>
        <v>659.5</v>
      </c>
      <c r="F27" s="115" t="s">
        <v>153</v>
      </c>
      <c r="G27" s="115" t="s">
        <v>154</v>
      </c>
      <c r="H27" s="115" t="s">
        <v>155</v>
      </c>
      <c r="I27" s="115">
        <v>70</v>
      </c>
      <c r="J27" s="117"/>
      <c r="K27" s="129"/>
    </row>
    <row r="28" spans="1:11" x14ac:dyDescent="0.25">
      <c r="A28" s="128"/>
      <c r="B28" s="116"/>
      <c r="C28" s="114" t="s">
        <v>156</v>
      </c>
      <c r="D28" s="115">
        <v>7861</v>
      </c>
      <c r="E28" s="115">
        <f t="shared" si="0"/>
        <v>655.08333333333337</v>
      </c>
      <c r="F28" s="115" t="s">
        <v>157</v>
      </c>
      <c r="G28" s="115" t="s">
        <v>158</v>
      </c>
      <c r="H28" s="115" t="s">
        <v>159</v>
      </c>
      <c r="I28" s="115">
        <v>139</v>
      </c>
      <c r="J28" s="117"/>
      <c r="K28" s="129"/>
    </row>
    <row r="29" spans="1:11" x14ac:dyDescent="0.25">
      <c r="A29" s="128"/>
      <c r="B29" s="116"/>
      <c r="C29" s="114" t="s">
        <v>160</v>
      </c>
      <c r="D29" s="115">
        <v>7824</v>
      </c>
      <c r="E29" s="115">
        <f t="shared" si="0"/>
        <v>652</v>
      </c>
      <c r="F29" s="115" t="s">
        <v>161</v>
      </c>
      <c r="G29" s="115" t="s">
        <v>155</v>
      </c>
      <c r="H29" s="115" t="s">
        <v>162</v>
      </c>
      <c r="I29" s="115">
        <v>79</v>
      </c>
      <c r="J29" s="117"/>
      <c r="K29" s="129"/>
    </row>
    <row r="30" spans="1:11" x14ac:dyDescent="0.25">
      <c r="A30" s="128"/>
      <c r="B30" s="116"/>
      <c r="C30" s="114" t="s">
        <v>163</v>
      </c>
      <c r="D30" s="115">
        <v>7726</v>
      </c>
      <c r="E30" s="115">
        <f t="shared" si="0"/>
        <v>643.83333333333337</v>
      </c>
      <c r="F30" s="115" t="s">
        <v>164</v>
      </c>
      <c r="G30" s="115" t="s">
        <v>165</v>
      </c>
      <c r="H30" s="115" t="s">
        <v>166</v>
      </c>
      <c r="I30" s="115">
        <v>325</v>
      </c>
      <c r="J30" s="117"/>
      <c r="K30" s="129"/>
    </row>
    <row r="31" spans="1:11" x14ac:dyDescent="0.25">
      <c r="A31" s="128"/>
      <c r="B31" s="116"/>
      <c r="C31" s="114" t="s">
        <v>167</v>
      </c>
      <c r="D31" s="115">
        <v>7688</v>
      </c>
      <c r="E31" s="115">
        <f t="shared" si="0"/>
        <v>640.66666666666663</v>
      </c>
      <c r="F31" s="115" t="s">
        <v>168</v>
      </c>
      <c r="G31" s="115" t="s">
        <v>169</v>
      </c>
      <c r="H31" s="115" t="s">
        <v>170</v>
      </c>
      <c r="I31" s="115">
        <v>169</v>
      </c>
      <c r="J31" s="117"/>
      <c r="K31" s="129"/>
    </row>
    <row r="32" spans="1:11" x14ac:dyDescent="0.25">
      <c r="A32" s="128"/>
      <c r="B32" s="116"/>
      <c r="C32" s="114" t="s">
        <v>171</v>
      </c>
      <c r="D32" s="115">
        <v>7486</v>
      </c>
      <c r="E32" s="115">
        <f t="shared" si="0"/>
        <v>623.83333333333337</v>
      </c>
      <c r="F32" s="115" t="s">
        <v>172</v>
      </c>
      <c r="G32" s="115" t="s">
        <v>173</v>
      </c>
      <c r="H32" s="115" t="s">
        <v>174</v>
      </c>
      <c r="I32" s="115">
        <v>14</v>
      </c>
      <c r="J32" s="117"/>
      <c r="K32" s="129"/>
    </row>
    <row r="33" spans="1:11" x14ac:dyDescent="0.25">
      <c r="A33" s="128"/>
      <c r="B33" s="116"/>
      <c r="C33" s="114" t="s">
        <v>175</v>
      </c>
      <c r="D33" s="115">
        <v>7363</v>
      </c>
      <c r="E33" s="115">
        <f t="shared" si="0"/>
        <v>613.58333333333337</v>
      </c>
      <c r="F33" s="115" t="s">
        <v>176</v>
      </c>
      <c r="G33" s="115" t="s">
        <v>177</v>
      </c>
      <c r="H33" s="115" t="s">
        <v>178</v>
      </c>
      <c r="I33" s="115">
        <v>8</v>
      </c>
      <c r="J33" s="117"/>
      <c r="K33" s="129"/>
    </row>
    <row r="34" spans="1:11" x14ac:dyDescent="0.25">
      <c r="A34" s="128"/>
      <c r="B34" s="116"/>
      <c r="C34" s="114" t="s">
        <v>179</v>
      </c>
      <c r="D34" s="115">
        <v>7358</v>
      </c>
      <c r="E34" s="115">
        <f t="shared" si="0"/>
        <v>613.16666666666663</v>
      </c>
      <c r="F34" s="115" t="s">
        <v>180</v>
      </c>
      <c r="G34" s="115" t="s">
        <v>181</v>
      </c>
      <c r="H34" s="115" t="s">
        <v>182</v>
      </c>
      <c r="I34" s="115">
        <v>1801</v>
      </c>
      <c r="J34" s="117"/>
      <c r="K34" s="129"/>
    </row>
    <row r="35" spans="1:11" x14ac:dyDescent="0.25">
      <c r="A35" s="128"/>
      <c r="B35" s="116"/>
      <c r="C35" s="114" t="s">
        <v>183</v>
      </c>
      <c r="D35" s="115">
        <v>7272</v>
      </c>
      <c r="E35" s="115">
        <f t="shared" si="0"/>
        <v>606</v>
      </c>
      <c r="F35" s="115">
        <v>0</v>
      </c>
      <c r="G35" s="115" t="s">
        <v>184</v>
      </c>
      <c r="H35" s="115" t="s">
        <v>185</v>
      </c>
      <c r="I35" s="115">
        <v>10</v>
      </c>
      <c r="J35" s="117"/>
      <c r="K35" s="129"/>
    </row>
    <row r="36" spans="1:11" x14ac:dyDescent="0.25">
      <c r="A36" s="128"/>
      <c r="B36" s="116"/>
      <c r="C36" s="114" t="s">
        <v>186</v>
      </c>
      <c r="D36" s="115">
        <v>7268</v>
      </c>
      <c r="E36" s="115">
        <f t="shared" si="0"/>
        <v>605.66666666666663</v>
      </c>
      <c r="F36" s="115" t="s">
        <v>187</v>
      </c>
      <c r="G36" s="115" t="s">
        <v>188</v>
      </c>
      <c r="H36" s="115" t="s">
        <v>189</v>
      </c>
      <c r="I36" s="115">
        <v>36</v>
      </c>
      <c r="J36" s="117"/>
      <c r="K36" s="129"/>
    </row>
    <row r="37" spans="1:11" x14ac:dyDescent="0.25">
      <c r="A37" s="128"/>
      <c r="B37" s="116"/>
      <c r="C37" s="114" t="s">
        <v>190</v>
      </c>
      <c r="D37" s="115">
        <v>6950</v>
      </c>
      <c r="E37" s="115">
        <f t="shared" si="0"/>
        <v>579.16666666666663</v>
      </c>
      <c r="F37" s="115" t="s">
        <v>191</v>
      </c>
      <c r="G37" s="115" t="s">
        <v>192</v>
      </c>
      <c r="H37" s="115" t="s">
        <v>193</v>
      </c>
      <c r="I37" s="115">
        <v>95</v>
      </c>
      <c r="J37" s="117"/>
      <c r="K37" s="129"/>
    </row>
    <row r="38" spans="1:11" x14ac:dyDescent="0.25">
      <c r="A38" s="128"/>
      <c r="B38" s="116"/>
      <c r="C38" s="114" t="s">
        <v>194</v>
      </c>
      <c r="D38" s="115">
        <v>6876</v>
      </c>
      <c r="E38" s="115">
        <f t="shared" si="0"/>
        <v>573</v>
      </c>
      <c r="F38" s="115" t="s">
        <v>195</v>
      </c>
      <c r="G38" s="115" t="s">
        <v>196</v>
      </c>
      <c r="H38" s="115" t="s">
        <v>197</v>
      </c>
      <c r="I38" s="115">
        <v>51</v>
      </c>
      <c r="J38" s="117"/>
      <c r="K38" s="129"/>
    </row>
    <row r="39" spans="1:11" x14ac:dyDescent="0.25">
      <c r="A39" s="128"/>
      <c r="B39" s="116"/>
      <c r="C39" s="114" t="s">
        <v>198</v>
      </c>
      <c r="D39" s="115">
        <v>6856</v>
      </c>
      <c r="E39" s="115">
        <f t="shared" si="0"/>
        <v>571.33333333333337</v>
      </c>
      <c r="F39" s="115" t="s">
        <v>199</v>
      </c>
      <c r="G39" s="115" t="s">
        <v>200</v>
      </c>
      <c r="H39" s="115" t="s">
        <v>201</v>
      </c>
      <c r="I39" s="115">
        <v>6</v>
      </c>
      <c r="J39" s="117"/>
      <c r="K39" s="129"/>
    </row>
    <row r="40" spans="1:11" x14ac:dyDescent="0.25">
      <c r="A40" s="128"/>
      <c r="B40" s="116"/>
      <c r="C40" s="114" t="s">
        <v>202</v>
      </c>
      <c r="D40" s="115">
        <v>6816</v>
      </c>
      <c r="E40" s="115">
        <f t="shared" si="0"/>
        <v>568</v>
      </c>
      <c r="F40" s="115" t="s">
        <v>203</v>
      </c>
      <c r="G40" s="115" t="s">
        <v>204</v>
      </c>
      <c r="H40" s="115" t="s">
        <v>205</v>
      </c>
      <c r="I40" s="115">
        <v>148</v>
      </c>
      <c r="J40" s="117"/>
      <c r="K40" s="129"/>
    </row>
    <row r="41" spans="1:11" x14ac:dyDescent="0.25">
      <c r="A41" s="128"/>
      <c r="B41" s="116"/>
      <c r="C41" s="114" t="s">
        <v>206</v>
      </c>
      <c r="D41" s="115">
        <v>6643</v>
      </c>
      <c r="E41" s="115">
        <f t="shared" si="0"/>
        <v>553.58333333333337</v>
      </c>
      <c r="F41" s="115">
        <v>0</v>
      </c>
      <c r="G41" s="115" t="s">
        <v>207</v>
      </c>
      <c r="H41" s="115" t="s">
        <v>127</v>
      </c>
      <c r="I41" s="115">
        <v>7</v>
      </c>
      <c r="J41" s="117"/>
      <c r="K41" s="129"/>
    </row>
    <row r="42" spans="1:11" x14ac:dyDescent="0.25">
      <c r="A42" s="128"/>
      <c r="B42" s="116"/>
      <c r="C42" s="114" t="s">
        <v>208</v>
      </c>
      <c r="D42" s="115">
        <v>6582</v>
      </c>
      <c r="E42" s="115">
        <f t="shared" si="0"/>
        <v>548.5</v>
      </c>
      <c r="F42" s="115" t="s">
        <v>209</v>
      </c>
      <c r="G42" s="115" t="s">
        <v>210</v>
      </c>
      <c r="H42" s="115" t="s">
        <v>211</v>
      </c>
      <c r="I42" s="115">
        <v>64</v>
      </c>
      <c r="J42" s="117"/>
      <c r="K42" s="129"/>
    </row>
    <row r="43" spans="1:11" x14ac:dyDescent="0.25">
      <c r="A43" s="128"/>
      <c r="B43" s="116"/>
      <c r="C43" s="114" t="s">
        <v>212</v>
      </c>
      <c r="D43" s="115">
        <v>6417</v>
      </c>
      <c r="E43" s="115">
        <f t="shared" si="0"/>
        <v>534.75</v>
      </c>
      <c r="F43" s="115" t="s">
        <v>213</v>
      </c>
      <c r="G43" s="115" t="s">
        <v>214</v>
      </c>
      <c r="H43" s="115" t="s">
        <v>215</v>
      </c>
      <c r="I43" s="115">
        <v>89</v>
      </c>
      <c r="J43" s="117"/>
      <c r="K43" s="129"/>
    </row>
    <row r="44" spans="1:11" x14ac:dyDescent="0.25">
      <c r="A44" s="128"/>
      <c r="B44" s="116"/>
      <c r="C44" s="114" t="s">
        <v>216</v>
      </c>
      <c r="D44" s="115">
        <v>6309</v>
      </c>
      <c r="E44" s="115">
        <f t="shared" si="0"/>
        <v>525.75</v>
      </c>
      <c r="F44" s="115" t="s">
        <v>99</v>
      </c>
      <c r="G44" s="115" t="s">
        <v>217</v>
      </c>
      <c r="H44" s="115" t="s">
        <v>218</v>
      </c>
      <c r="I44" s="115">
        <v>45</v>
      </c>
      <c r="J44" s="117"/>
      <c r="K44" s="129"/>
    </row>
    <row r="45" spans="1:11" x14ac:dyDescent="0.25">
      <c r="A45" s="128"/>
      <c r="B45" s="116"/>
      <c r="C45" s="114" t="s">
        <v>219</v>
      </c>
      <c r="D45" s="115">
        <v>6279</v>
      </c>
      <c r="E45" s="115">
        <f t="shared" si="0"/>
        <v>523.25</v>
      </c>
      <c r="F45" s="115" t="s">
        <v>118</v>
      </c>
      <c r="G45" s="115" t="s">
        <v>220</v>
      </c>
      <c r="H45" s="115" t="s">
        <v>221</v>
      </c>
      <c r="I45" s="115">
        <v>22</v>
      </c>
      <c r="J45" s="117"/>
      <c r="K45" s="129"/>
    </row>
    <row r="46" spans="1:11" x14ac:dyDescent="0.25">
      <c r="A46" s="128"/>
      <c r="B46" s="116"/>
      <c r="C46" s="114" t="s">
        <v>222</v>
      </c>
      <c r="D46" s="115">
        <v>6258</v>
      </c>
      <c r="E46" s="115">
        <f t="shared" si="0"/>
        <v>521.5</v>
      </c>
      <c r="F46" s="115" t="s">
        <v>223</v>
      </c>
      <c r="G46" s="115" t="s">
        <v>224</v>
      </c>
      <c r="H46" s="115" t="s">
        <v>225</v>
      </c>
      <c r="I46" s="115">
        <v>43</v>
      </c>
      <c r="J46" s="117"/>
      <c r="K46" s="129"/>
    </row>
    <row r="47" spans="1:11" x14ac:dyDescent="0.25">
      <c r="A47" s="128"/>
      <c r="B47" s="116"/>
      <c r="C47" s="114" t="s">
        <v>226</v>
      </c>
      <c r="D47" s="115">
        <v>6253</v>
      </c>
      <c r="E47" s="115">
        <f t="shared" si="0"/>
        <v>521.08333333333337</v>
      </c>
      <c r="F47" s="115" t="s">
        <v>227</v>
      </c>
      <c r="G47" s="115" t="s">
        <v>228</v>
      </c>
      <c r="H47" s="115" t="s">
        <v>229</v>
      </c>
      <c r="I47" s="115">
        <v>25</v>
      </c>
      <c r="J47" s="117"/>
      <c r="K47" s="129"/>
    </row>
    <row r="48" spans="1:11" x14ac:dyDescent="0.25">
      <c r="A48" s="128"/>
      <c r="B48" s="116"/>
      <c r="C48" s="114" t="s">
        <v>230</v>
      </c>
      <c r="D48" s="115">
        <v>6171</v>
      </c>
      <c r="E48" s="115">
        <f t="shared" si="0"/>
        <v>514.25</v>
      </c>
      <c r="F48" s="115" t="s">
        <v>231</v>
      </c>
      <c r="G48" s="115" t="s">
        <v>232</v>
      </c>
      <c r="H48" s="115" t="s">
        <v>233</v>
      </c>
      <c r="I48" s="115">
        <v>12</v>
      </c>
      <c r="J48" s="117"/>
      <c r="K48" s="129"/>
    </row>
    <row r="49" spans="1:11" x14ac:dyDescent="0.25">
      <c r="A49" s="128"/>
      <c r="B49" s="116"/>
      <c r="C49" s="114" t="s">
        <v>234</v>
      </c>
      <c r="D49" s="115">
        <v>6115</v>
      </c>
      <c r="E49" s="115">
        <f t="shared" si="0"/>
        <v>509.58333333333331</v>
      </c>
      <c r="F49" s="115" t="s">
        <v>235</v>
      </c>
      <c r="G49" s="115" t="s">
        <v>236</v>
      </c>
      <c r="H49" s="115" t="s">
        <v>237</v>
      </c>
      <c r="I49" s="115">
        <v>19</v>
      </c>
      <c r="J49" s="117"/>
      <c r="K49" s="129"/>
    </row>
    <row r="50" spans="1:11" x14ac:dyDescent="0.25">
      <c r="A50" s="128"/>
      <c r="B50" s="116"/>
      <c r="C50" s="114" t="s">
        <v>238</v>
      </c>
      <c r="D50" s="115">
        <v>6111</v>
      </c>
      <c r="E50" s="115">
        <f t="shared" si="0"/>
        <v>509.25</v>
      </c>
      <c r="F50" s="115" t="s">
        <v>239</v>
      </c>
      <c r="G50" s="115" t="s">
        <v>240</v>
      </c>
      <c r="H50" s="115" t="s">
        <v>241</v>
      </c>
      <c r="I50" s="115">
        <v>21</v>
      </c>
      <c r="J50" s="117"/>
      <c r="K50" s="129"/>
    </row>
    <row r="51" spans="1:11" x14ac:dyDescent="0.25">
      <c r="A51" s="128"/>
      <c r="B51" s="116"/>
      <c r="C51" s="114" t="s">
        <v>242</v>
      </c>
      <c r="D51" s="115">
        <v>6054</v>
      </c>
      <c r="E51" s="115">
        <f t="shared" si="0"/>
        <v>504.5</v>
      </c>
      <c r="F51" s="115" t="s">
        <v>243</v>
      </c>
      <c r="G51" s="115" t="s">
        <v>244</v>
      </c>
      <c r="H51" s="115" t="s">
        <v>245</v>
      </c>
      <c r="I51" s="115">
        <v>131</v>
      </c>
      <c r="J51" s="117"/>
      <c r="K51" s="129"/>
    </row>
    <row r="52" spans="1:11" x14ac:dyDescent="0.25">
      <c r="A52" s="128"/>
      <c r="B52" s="116"/>
      <c r="C52" s="114" t="s">
        <v>246</v>
      </c>
      <c r="D52" s="115">
        <v>6037</v>
      </c>
      <c r="E52" s="115">
        <f t="shared" si="0"/>
        <v>503.08333333333331</v>
      </c>
      <c r="F52" s="115" t="s">
        <v>247</v>
      </c>
      <c r="G52" s="115" t="s">
        <v>248</v>
      </c>
      <c r="H52" s="115" t="s">
        <v>249</v>
      </c>
      <c r="I52" s="115">
        <v>37</v>
      </c>
      <c r="J52" s="117"/>
      <c r="K52" s="129"/>
    </row>
    <row r="53" spans="1:11" x14ac:dyDescent="0.25">
      <c r="A53" s="128"/>
      <c r="B53" s="116"/>
      <c r="C53" s="114" t="s">
        <v>250</v>
      </c>
      <c r="D53" s="115">
        <v>5949</v>
      </c>
      <c r="E53" s="115">
        <f t="shared" si="0"/>
        <v>495.75</v>
      </c>
      <c r="F53" s="115" t="s">
        <v>251</v>
      </c>
      <c r="G53" s="115" t="s">
        <v>252</v>
      </c>
      <c r="H53" s="115" t="s">
        <v>253</v>
      </c>
      <c r="I53" s="115">
        <v>7</v>
      </c>
      <c r="J53" s="117"/>
      <c r="K53" s="129"/>
    </row>
    <row r="54" spans="1:11" x14ac:dyDescent="0.25">
      <c r="A54" s="128"/>
      <c r="B54" s="116"/>
      <c r="C54" s="114" t="s">
        <v>254</v>
      </c>
      <c r="D54" s="115">
        <v>5877</v>
      </c>
      <c r="E54" s="115">
        <f t="shared" si="0"/>
        <v>489.75</v>
      </c>
      <c r="F54" s="115" t="s">
        <v>255</v>
      </c>
      <c r="G54" s="115" t="s">
        <v>127</v>
      </c>
      <c r="H54" s="115" t="s">
        <v>127</v>
      </c>
      <c r="I54" s="115">
        <v>11</v>
      </c>
      <c r="J54" s="117"/>
      <c r="K54" s="129"/>
    </row>
    <row r="55" spans="1:11" x14ac:dyDescent="0.25">
      <c r="A55" s="128"/>
      <c r="B55" s="116"/>
      <c r="C55" s="114" t="s">
        <v>256</v>
      </c>
      <c r="D55" s="115">
        <v>5618</v>
      </c>
      <c r="E55" s="115">
        <f t="shared" si="0"/>
        <v>468.16666666666669</v>
      </c>
      <c r="F55" s="115">
        <v>0</v>
      </c>
      <c r="G55" s="115" t="s">
        <v>257</v>
      </c>
      <c r="H55" s="115" t="s">
        <v>127</v>
      </c>
      <c r="I55" s="115">
        <v>20</v>
      </c>
      <c r="J55" s="117"/>
      <c r="K55" s="129"/>
    </row>
    <row r="56" spans="1:11" x14ac:dyDescent="0.25">
      <c r="A56" s="128"/>
      <c r="B56" s="116"/>
      <c r="C56" s="114" t="s">
        <v>258</v>
      </c>
      <c r="D56" s="115">
        <v>5062</v>
      </c>
      <c r="E56" s="115">
        <f t="shared" si="0"/>
        <v>421.83333333333331</v>
      </c>
      <c r="F56" s="115" t="s">
        <v>259</v>
      </c>
      <c r="G56" s="115" t="s">
        <v>260</v>
      </c>
      <c r="H56" s="115" t="s">
        <v>261</v>
      </c>
      <c r="I56" s="115">
        <v>22</v>
      </c>
      <c r="J56" s="117"/>
      <c r="K56" s="129"/>
    </row>
    <row r="57" spans="1:11" x14ac:dyDescent="0.25">
      <c r="A57" s="128"/>
      <c r="B57" s="116"/>
      <c r="C57" s="114" t="s">
        <v>262</v>
      </c>
      <c r="D57" s="115">
        <v>4838</v>
      </c>
      <c r="E57" s="115">
        <f t="shared" si="0"/>
        <v>403.16666666666669</v>
      </c>
      <c r="F57" s="115" t="s">
        <v>263</v>
      </c>
      <c r="G57" s="115" t="s">
        <v>264</v>
      </c>
      <c r="H57" s="115" t="s">
        <v>265</v>
      </c>
      <c r="I57" s="115">
        <v>33</v>
      </c>
      <c r="J57" s="117"/>
      <c r="K57" s="129"/>
    </row>
    <row r="58" spans="1:11" x14ac:dyDescent="0.25">
      <c r="A58" s="128"/>
      <c r="B58" s="116"/>
      <c r="C58" s="114" t="s">
        <v>266</v>
      </c>
      <c r="D58" s="115">
        <v>4835</v>
      </c>
      <c r="E58" s="115">
        <f t="shared" si="0"/>
        <v>402.91666666666669</v>
      </c>
      <c r="F58" s="115" t="s">
        <v>267</v>
      </c>
      <c r="G58" s="115" t="s">
        <v>268</v>
      </c>
      <c r="H58" s="115" t="s">
        <v>269</v>
      </c>
      <c r="I58" s="115">
        <v>12</v>
      </c>
      <c r="J58" s="117"/>
      <c r="K58" s="129"/>
    </row>
    <row r="59" spans="1:11" x14ac:dyDescent="0.25">
      <c r="A59" s="128"/>
      <c r="B59" s="116"/>
      <c r="C59" s="114" t="s">
        <v>270</v>
      </c>
      <c r="D59" s="115">
        <v>4728</v>
      </c>
      <c r="E59" s="115">
        <f t="shared" si="0"/>
        <v>394</v>
      </c>
      <c r="F59" s="115" t="s">
        <v>271</v>
      </c>
      <c r="G59" s="115" t="s">
        <v>272</v>
      </c>
      <c r="H59" s="115" t="s">
        <v>127</v>
      </c>
      <c r="I59" s="115">
        <v>20</v>
      </c>
      <c r="J59" s="117"/>
      <c r="K59" s="129"/>
    </row>
    <row r="60" spans="1:11" x14ac:dyDescent="0.25">
      <c r="A60" s="128"/>
      <c r="B60" s="116"/>
      <c r="C60" s="114" t="s">
        <v>273</v>
      </c>
      <c r="D60" s="115">
        <v>4585</v>
      </c>
      <c r="E60" s="115">
        <f t="shared" si="0"/>
        <v>382.08333333333331</v>
      </c>
      <c r="F60" s="115" t="s">
        <v>274</v>
      </c>
      <c r="G60" s="115" t="s">
        <v>275</v>
      </c>
      <c r="H60" s="115" t="s">
        <v>276</v>
      </c>
      <c r="I60" s="115">
        <v>9</v>
      </c>
      <c r="J60" s="117"/>
      <c r="K60" s="129"/>
    </row>
    <row r="61" spans="1:11" x14ac:dyDescent="0.25">
      <c r="A61" s="128"/>
      <c r="B61" s="116"/>
      <c r="C61" s="114" t="s">
        <v>277</v>
      </c>
      <c r="D61" s="115">
        <v>4251</v>
      </c>
      <c r="E61" s="115">
        <f t="shared" si="0"/>
        <v>354.25</v>
      </c>
      <c r="F61" s="115" t="s">
        <v>278</v>
      </c>
      <c r="G61" s="115" t="s">
        <v>279</v>
      </c>
      <c r="H61" s="115" t="s">
        <v>127</v>
      </c>
      <c r="I61" s="115">
        <v>9</v>
      </c>
      <c r="J61" s="117"/>
      <c r="K61" s="129"/>
    </row>
    <row r="62" spans="1:11" x14ac:dyDescent="0.25">
      <c r="A62" s="128"/>
      <c r="B62" s="116"/>
      <c r="C62" s="118" t="s">
        <v>280</v>
      </c>
      <c r="D62" s="119">
        <f>AVERAGE(D12:D31)</f>
        <v>9471.7999999999993</v>
      </c>
      <c r="E62" s="119">
        <f>ROUND(AVERAGE(E12:E31),0)</f>
        <v>789</v>
      </c>
      <c r="F62" s="115"/>
      <c r="G62" s="115"/>
      <c r="H62" s="115"/>
      <c r="I62" s="115"/>
      <c r="J62" s="117"/>
      <c r="K62" s="129"/>
    </row>
    <row r="63" spans="1:11" x14ac:dyDescent="0.25">
      <c r="A63" s="128"/>
      <c r="B63" s="135"/>
      <c r="C63" s="192" t="s">
        <v>281</v>
      </c>
      <c r="D63" s="192"/>
      <c r="E63" s="192"/>
      <c r="F63" s="192"/>
      <c r="G63" s="192"/>
      <c r="H63" s="192"/>
      <c r="I63" s="192"/>
      <c r="J63" s="106"/>
      <c r="K63" s="129"/>
    </row>
    <row r="64" spans="1:11" x14ac:dyDescent="0.25">
      <c r="A64" s="128"/>
      <c r="B64" s="135"/>
      <c r="C64" s="120" t="s">
        <v>282</v>
      </c>
      <c r="D64" s="191" t="s">
        <v>283</v>
      </c>
      <c r="E64" s="191"/>
      <c r="F64" s="191"/>
      <c r="G64" s="191"/>
      <c r="H64" s="120"/>
      <c r="I64" s="120"/>
      <c r="J64" s="106"/>
      <c r="K64" s="129"/>
    </row>
    <row r="65" spans="1:11" ht="15.75" thickBot="1" x14ac:dyDescent="0.3">
      <c r="A65" s="128"/>
      <c r="B65" s="121"/>
      <c r="C65" s="136"/>
      <c r="D65" s="136"/>
      <c r="E65" s="136"/>
      <c r="F65" s="136"/>
      <c r="G65" s="136"/>
      <c r="H65" s="136"/>
      <c r="I65" s="136"/>
      <c r="J65" s="122"/>
      <c r="K65" s="129"/>
    </row>
    <row r="66" spans="1:11" x14ac:dyDescent="0.25">
      <c r="B66" s="131"/>
      <c r="C66" s="131"/>
      <c r="D66" s="131"/>
      <c r="E66" s="131"/>
      <c r="F66" s="131"/>
      <c r="G66" s="131"/>
      <c r="H66" s="131"/>
      <c r="I66" s="131"/>
      <c r="J66" s="131"/>
    </row>
  </sheetData>
  <mergeCells count="7">
    <mergeCell ref="D64:G64"/>
    <mergeCell ref="C63:I63"/>
    <mergeCell ref="B3:J3"/>
    <mergeCell ref="B4:J4"/>
    <mergeCell ref="E7:G7"/>
    <mergeCell ref="E8:G8"/>
    <mergeCell ref="C10:I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Входящие данные</vt:lpstr>
      <vt:lpstr>Инвестиции на орг-цию бизнеса</vt:lpstr>
      <vt:lpstr>Ежемесячные затраты</vt:lpstr>
      <vt:lpstr>Продажи</vt:lpstr>
      <vt:lpstr>Прибыль_окупаемость</vt:lpstr>
      <vt:lpstr>Арендные ставки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Франчайзинг 5</dc:creator>
  <cp:lastModifiedBy>Руслан</cp:lastModifiedBy>
  <cp:lastPrinted>2016-03-01T10:32:49Z</cp:lastPrinted>
  <dcterms:created xsi:type="dcterms:W3CDTF">2015-06-28T20:32:06Z</dcterms:created>
  <dcterms:modified xsi:type="dcterms:W3CDTF">2016-09-21T11:43:43Z</dcterms:modified>
</cp:coreProperties>
</file>