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2" activeTab="2"/>
  </bookViews>
  <sheets>
    <sheet name="Общ" sheetId="1" state="hidden" r:id="rId1"/>
    <sheet name="Франчайзер" sheetId="2" state="hidden" r:id="rId2"/>
    <sheet name="Франчайзи" sheetId="3" r:id="rId3"/>
  </sheets>
  <definedNames/>
  <calcPr fullCalcOnLoad="1"/>
</workbook>
</file>

<file path=xl/comments3.xml><?xml version="1.0" encoding="utf-8"?>
<comments xmlns="http://schemas.openxmlformats.org/spreadsheetml/2006/main">
  <authors>
    <author>AlteraSPB-11</author>
  </authors>
  <commentList>
    <comment ref="H8" authorId="0">
      <text>
        <r>
          <rPr>
            <b/>
            <sz val="9"/>
            <rFont val="Tahoma"/>
            <family val="0"/>
          </rPr>
          <t>AlteraSPB-11:</t>
        </r>
        <r>
          <rPr>
            <sz val="9"/>
            <rFont val="Tahoma"/>
            <family val="0"/>
          </rPr>
          <t xml:space="preserve">
рекомендованная
можно откл на +-20%</t>
        </r>
      </text>
    </comment>
    <comment ref="H23" authorId="0">
      <text>
        <r>
          <rPr>
            <b/>
            <sz val="9"/>
            <rFont val="Tahoma"/>
            <family val="2"/>
          </rPr>
          <t>AlteraSPB-11:</t>
        </r>
        <r>
          <rPr>
            <sz val="9"/>
            <rFont val="Tahoma"/>
            <family val="2"/>
          </rPr>
          <t xml:space="preserve">
мин 80</t>
        </r>
      </text>
    </comment>
    <comment ref="D3" authorId="0">
      <text>
        <r>
          <rPr>
            <b/>
            <sz val="9"/>
            <rFont val="Tahoma"/>
            <family val="2"/>
          </rPr>
          <t>AlteraSPB-11:</t>
        </r>
        <r>
          <rPr>
            <sz val="9"/>
            <rFont val="Tahoma"/>
            <family val="2"/>
          </rPr>
          <t xml:space="preserve">
на 100 м</t>
        </r>
      </text>
    </comment>
    <comment ref="C15" authorId="0">
      <text>
        <r>
          <rPr>
            <b/>
            <sz val="9"/>
            <rFont val="Tahoma"/>
            <family val="2"/>
          </rPr>
          <t>AlteraSPB-11:</t>
        </r>
        <r>
          <rPr>
            <sz val="9"/>
            <rFont val="Tahoma"/>
            <family val="2"/>
          </rPr>
          <t xml:space="preserve">
доставка со склада
+ доставка по городу франчайзи</t>
        </r>
      </text>
    </comment>
    <comment ref="C20" authorId="0">
      <text>
        <r>
          <rPr>
            <b/>
            <sz val="9"/>
            <rFont val="Tahoma"/>
            <family val="2"/>
          </rPr>
          <t>AlteraSPB-11:</t>
        </r>
        <r>
          <rPr>
            <sz val="9"/>
            <rFont val="Tahoma"/>
            <family val="2"/>
          </rPr>
          <t xml:space="preserve">
в первое время продавец - хозяин</t>
        </r>
      </text>
    </comment>
  </commentList>
</comments>
</file>

<file path=xl/sharedStrings.xml><?xml version="1.0" encoding="utf-8"?>
<sst xmlns="http://schemas.openxmlformats.org/spreadsheetml/2006/main" count="324" uniqueCount="190">
  <si>
    <t>Доходы</t>
  </si>
  <si>
    <t>Расходы</t>
  </si>
  <si>
    <t>роялти</t>
  </si>
  <si>
    <t>паушальный взнос</t>
  </si>
  <si>
    <t>маркетинговый взнос</t>
  </si>
  <si>
    <t>итого</t>
  </si>
  <si>
    <t>з/п</t>
  </si>
  <si>
    <t>марк. взнос</t>
  </si>
  <si>
    <t>тыс. руб.</t>
  </si>
  <si>
    <t>Реклама</t>
  </si>
  <si>
    <t>реклама</t>
  </si>
  <si>
    <t>аренда</t>
  </si>
  <si>
    <t>Маржинальный доход</t>
  </si>
  <si>
    <t>Маржинальная прибыль</t>
  </si>
  <si>
    <t>Переменные расходы, в т.ч.</t>
  </si>
  <si>
    <t>прочие</t>
  </si>
  <si>
    <t>Начисления на ФОТ</t>
  </si>
  <si>
    <t>Себестоимость товаров</t>
  </si>
  <si>
    <t>Постоянные расходы, в т.ч.</t>
  </si>
  <si>
    <t>содержание помещения, в т.ч.</t>
  </si>
  <si>
    <t>к/у</t>
  </si>
  <si>
    <t>уборка</t>
  </si>
  <si>
    <t>охрана</t>
  </si>
  <si>
    <t>1.</t>
  </si>
  <si>
    <t>2.</t>
  </si>
  <si>
    <t>2.1.</t>
  </si>
  <si>
    <t>2.2.</t>
  </si>
  <si>
    <t>3.</t>
  </si>
  <si>
    <t>3.1.</t>
  </si>
  <si>
    <t>3.2.</t>
  </si>
  <si>
    <t>3.3.</t>
  </si>
  <si>
    <t>услуги сторонних компаний, в т.ч.</t>
  </si>
  <si>
    <t>3.1.1.</t>
  </si>
  <si>
    <t>3.1.2.</t>
  </si>
  <si>
    <t>3.2.1.</t>
  </si>
  <si>
    <t>3.2.2.</t>
  </si>
  <si>
    <t>3.2.3.</t>
  </si>
  <si>
    <t>3.3.4.</t>
  </si>
  <si>
    <t>3.2.4.</t>
  </si>
  <si>
    <t>банковское обслуживание</t>
  </si>
  <si>
    <t>3.3.1.</t>
  </si>
  <si>
    <t>3.3.2.</t>
  </si>
  <si>
    <t>3.3.3.</t>
  </si>
  <si>
    <t>3.2.5.</t>
  </si>
  <si>
    <t>канцелярия для офиса</t>
  </si>
  <si>
    <t>мес</t>
  </si>
  <si>
    <t>год</t>
  </si>
  <si>
    <t>%</t>
  </si>
  <si>
    <t>бух.учет</t>
  </si>
  <si>
    <t>телефон и Интернет</t>
  </si>
  <si>
    <t>Маркетинг и продвижение</t>
  </si>
  <si>
    <t>Обслуживание франшизы, в т.ч.</t>
  </si>
  <si>
    <t>3.4.</t>
  </si>
  <si>
    <t>3.5.</t>
  </si>
  <si>
    <t>3.5.1.</t>
  </si>
  <si>
    <t>3.5.2.</t>
  </si>
  <si>
    <t>EBITDA</t>
  </si>
  <si>
    <t>Амортизация</t>
  </si>
  <si>
    <t>платежи по кредитам и займам</t>
  </si>
  <si>
    <t>прибыль до налогов</t>
  </si>
  <si>
    <t>налоги, в т.ч.</t>
  </si>
  <si>
    <t>Чистая прибыль</t>
  </si>
  <si>
    <t>3.6.</t>
  </si>
  <si>
    <t>3.7.</t>
  </si>
  <si>
    <t>Операционная прибыль</t>
  </si>
  <si>
    <t>3.8.</t>
  </si>
  <si>
    <t>3.9.</t>
  </si>
  <si>
    <t>3.10</t>
  </si>
  <si>
    <t>3.10.1</t>
  </si>
  <si>
    <t>3.11</t>
  </si>
  <si>
    <t>тыс.руб.</t>
  </si>
  <si>
    <t>Выручка, в т.ч.</t>
  </si>
  <si>
    <t>1.1.</t>
  </si>
  <si>
    <t>1.2.</t>
  </si>
  <si>
    <t>1.3.</t>
  </si>
  <si>
    <t>кол-во</t>
  </si>
  <si>
    <t>ставка</t>
  </si>
  <si>
    <t>размер роялти</t>
  </si>
  <si>
    <t>размер маркет. Взноса</t>
  </si>
  <si>
    <t>стоимость ВОА</t>
  </si>
  <si>
    <t>А</t>
  </si>
  <si>
    <t>ставка налога на прибыль</t>
  </si>
  <si>
    <t>налоги</t>
  </si>
  <si>
    <t>до налогов</t>
  </si>
  <si>
    <t>доля в выручке</t>
  </si>
  <si>
    <t>УСН</t>
  </si>
  <si>
    <t>Роялти</t>
  </si>
  <si>
    <t>Маркетинговые взносы</t>
  </si>
  <si>
    <t>прочее</t>
  </si>
  <si>
    <t>Рентабельность</t>
  </si>
  <si>
    <t>ч.прибыль</t>
  </si>
  <si>
    <t>Франчайзинг</t>
  </si>
  <si>
    <t>Итого</t>
  </si>
  <si>
    <t>собранные ПВ</t>
  </si>
  <si>
    <t>окупаемость</t>
  </si>
  <si>
    <t>площадь</t>
  </si>
  <si>
    <t>Инвестиции франчайзи</t>
  </si>
  <si>
    <t>Паушальный взнос</t>
  </si>
  <si>
    <t>Франчайзи</t>
  </si>
  <si>
    <t>Франчайзер</t>
  </si>
  <si>
    <t>клиенты</t>
  </si>
  <si>
    <t>Прочие переменные расходы</t>
  </si>
  <si>
    <t>обслуживание ПО</t>
  </si>
  <si>
    <t>прибыль франчайзера</t>
  </si>
  <si>
    <t>Инвестиции франчайзера</t>
  </si>
  <si>
    <t>Инвестиции франчайзера в франчайзи</t>
  </si>
  <si>
    <t>инв в франчайзи</t>
  </si>
  <si>
    <t>ставка налога</t>
  </si>
  <si>
    <t>тыс.руб./мес.</t>
  </si>
  <si>
    <t>ИТОГО</t>
  </si>
  <si>
    <t>1 год</t>
  </si>
  <si>
    <t>2 год</t>
  </si>
  <si>
    <t>3 год</t>
  </si>
  <si>
    <t>Выручка</t>
  </si>
  <si>
    <t>пост. расх.</t>
  </si>
  <si>
    <t>пер. расх.</t>
  </si>
  <si>
    <t>марк.взнос</t>
  </si>
  <si>
    <t>аморт.</t>
  </si>
  <si>
    <t>Прибыль до налогов</t>
  </si>
  <si>
    <t>ЧИСТАЯ ПРИБЫЛЬ</t>
  </si>
  <si>
    <t>рентабельность инвестиций</t>
  </si>
  <si>
    <t>лет</t>
  </si>
  <si>
    <t>закупки</t>
  </si>
  <si>
    <t>мин. ПВ</t>
  </si>
  <si>
    <t>обучение</t>
  </si>
  <si>
    <t>1.4.</t>
  </si>
  <si>
    <t>Инвестиции франчайзера в франшизу</t>
  </si>
  <si>
    <t>срок</t>
  </si>
  <si>
    <t>г.</t>
  </si>
  <si>
    <t>затраты на рекламу</t>
  </si>
  <si>
    <t>на франчайзи</t>
  </si>
  <si>
    <t>усн</t>
  </si>
  <si>
    <t>о.бсл. фр</t>
  </si>
  <si>
    <t>Паушальные взносы</t>
  </si>
  <si>
    <t>уровень загрузки</t>
  </si>
  <si>
    <t>Регистрация ТМ</t>
  </si>
  <si>
    <t>единый налог</t>
  </si>
  <si>
    <t>з/п gross</t>
  </si>
  <si>
    <t>налоги (УСН)</t>
  </si>
  <si>
    <t>месяц</t>
  </si>
  <si>
    <t>наценка</t>
  </si>
  <si>
    <t>себестоимость товаров</t>
  </si>
  <si>
    <t>количество франчайзи</t>
  </si>
  <si>
    <t>марк взносы</t>
  </si>
  <si>
    <t>поставки</t>
  </si>
  <si>
    <t>Экономический эффект</t>
  </si>
  <si>
    <t>рентабельность инвестиций (1 год)</t>
  </si>
  <si>
    <t>проч</t>
  </si>
  <si>
    <t>план продаж</t>
  </si>
  <si>
    <t>2.2.1.</t>
  </si>
  <si>
    <t>водитель</t>
  </si>
  <si>
    <t>2.2.2.</t>
  </si>
  <si>
    <t>реставратор</t>
  </si>
  <si>
    <t>2.2.3.</t>
  </si>
  <si>
    <t>Доставка</t>
  </si>
  <si>
    <t>з/п net</t>
  </si>
  <si>
    <t>Продавцы</t>
  </si>
  <si>
    <t>единый налог (УСН)</t>
  </si>
  <si>
    <t>ср.чек</t>
  </si>
  <si>
    <t>Сдельная оплата труда, в т.ч.:</t>
  </si>
  <si>
    <t>Оплата труда, в т.ч.:</t>
  </si>
  <si>
    <t>3.4.1.</t>
  </si>
  <si>
    <t>Продвижение сайта</t>
  </si>
  <si>
    <t>3.4.2.</t>
  </si>
  <si>
    <t>Авито</t>
  </si>
  <si>
    <t>3.4.3.</t>
  </si>
  <si>
    <t>Директ</t>
  </si>
  <si>
    <t>продажи</t>
  </si>
  <si>
    <t>Специалист по работе с фр</t>
  </si>
  <si>
    <t>комиссия</t>
  </si>
  <si>
    <t>первоначальная закупка</t>
  </si>
  <si>
    <t>обустройство магазина</t>
  </si>
  <si>
    <t>оборотный капитал</t>
  </si>
  <si>
    <t xml:space="preserve">     аренда 1 мес</t>
  </si>
  <si>
    <t xml:space="preserve">     залог по аренде</t>
  </si>
  <si>
    <t xml:space="preserve">     затраты за 1 мес</t>
  </si>
  <si>
    <t>Мебель</t>
  </si>
  <si>
    <t>Интерьер</t>
  </si>
  <si>
    <t>мебель</t>
  </si>
  <si>
    <t>интерьера</t>
  </si>
  <si>
    <t>специалист по наполнению сайтов</t>
  </si>
  <si>
    <t>сайт</t>
  </si>
  <si>
    <t>ПО (1с)</t>
  </si>
  <si>
    <t>1-я командировка</t>
  </si>
  <si>
    <t>накопленная прибыль</t>
  </si>
  <si>
    <t>инвестиции</t>
  </si>
  <si>
    <t>расход</t>
  </si>
  <si>
    <t>остаток на начало</t>
  </si>
  <si>
    <t>остаток на конец</t>
  </si>
  <si>
    <t>график закупок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</si>
</sst>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"/>
    <numFmt numFmtId="174" formatCode="#,##0.000"/>
    <numFmt numFmtId="175" formatCode="0.000"/>
    <numFmt numFmtId="176" formatCode="#,##0.0"/>
    <numFmt numFmtId="177" formatCode="0.000000"/>
    <numFmt numFmtId="178" formatCode="0.00000"/>
    <numFmt numFmtId="179" formatCode="0.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 quotePrefix="1">
      <alignment/>
    </xf>
    <xf numFmtId="9" fontId="0" fillId="33" borderId="0" xfId="0" applyNumberFormat="1" applyFill="1" applyAlignment="1">
      <alignment/>
    </xf>
    <xf numFmtId="3" fontId="3" fillId="0" borderId="0" xfId="0" applyNumberFormat="1" applyFont="1" applyAlignment="1">
      <alignment/>
    </xf>
    <xf numFmtId="9" fontId="0" fillId="0" borderId="0" xfId="0" applyNumberForma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1" fillId="34" borderId="0" xfId="0" applyFon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9" fontId="0" fillId="35" borderId="0" xfId="0" applyNumberFormat="1" applyFill="1" applyAlignment="1">
      <alignment/>
    </xf>
    <xf numFmtId="10" fontId="0" fillId="35" borderId="0" xfId="0" applyNumberFormat="1" applyFill="1" applyAlignment="1">
      <alignment/>
    </xf>
    <xf numFmtId="3" fontId="0" fillId="35" borderId="0" xfId="0" applyNumberFormat="1" applyFill="1" applyAlignment="1">
      <alignment/>
    </xf>
    <xf numFmtId="172" fontId="0" fillId="36" borderId="0" xfId="0" applyNumberFormat="1" applyFill="1" applyAlignment="1">
      <alignment/>
    </xf>
    <xf numFmtId="0" fontId="0" fillId="0" borderId="0" xfId="0" applyFill="1" applyAlignment="1">
      <alignment/>
    </xf>
    <xf numFmtId="0" fontId="2" fillId="34" borderId="0" xfId="0" applyFont="1" applyFill="1" applyAlignment="1" quotePrefix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10" fontId="2" fillId="34" borderId="0" xfId="57" applyNumberFormat="1" applyFont="1" applyFill="1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5" fontId="0" fillId="35" borderId="0" xfId="0" applyNumberFormat="1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9" fontId="0" fillId="38" borderId="0" xfId="0" applyNumberFormat="1" applyFill="1" applyAlignment="1">
      <alignment/>
    </xf>
    <xf numFmtId="3" fontId="0" fillId="38" borderId="0" xfId="0" applyNumberFormat="1" applyFill="1" applyAlignment="1">
      <alignment/>
    </xf>
    <xf numFmtId="0" fontId="35" fillId="0" borderId="0" xfId="0" applyFont="1" applyAlignment="1">
      <alignment/>
    </xf>
    <xf numFmtId="3" fontId="35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7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0" fontId="2" fillId="0" borderId="0" xfId="57" applyNumberFormat="1" applyFont="1" applyFill="1" applyBorder="1" applyAlignment="1">
      <alignment/>
    </xf>
    <xf numFmtId="0" fontId="0" fillId="38" borderId="12" xfId="0" applyFill="1" applyBorder="1" applyAlignment="1">
      <alignment/>
    </xf>
    <xf numFmtId="0" fontId="1" fillId="0" borderId="0" xfId="0" applyFont="1" applyAlignment="1">
      <alignment/>
    </xf>
    <xf numFmtId="9" fontId="0" fillId="38" borderId="14" xfId="0" applyNumberFormat="1" applyFill="1" applyBorder="1" applyAlignment="1">
      <alignment/>
    </xf>
    <xf numFmtId="0" fontId="35" fillId="0" borderId="0" xfId="0" applyFont="1" applyBorder="1" applyAlignment="1">
      <alignment/>
    </xf>
    <xf numFmtId="0" fontId="0" fillId="39" borderId="0" xfId="0" applyFill="1" applyAlignment="1">
      <alignment/>
    </xf>
    <xf numFmtId="0" fontId="35" fillId="39" borderId="0" xfId="0" applyFont="1" applyFill="1" applyAlignment="1">
      <alignment/>
    </xf>
    <xf numFmtId="0" fontId="35" fillId="39" borderId="0" xfId="0" applyFont="1" applyFill="1" applyAlignment="1">
      <alignment horizontal="right"/>
    </xf>
    <xf numFmtId="0" fontId="35" fillId="39" borderId="14" xfId="0" applyFont="1" applyFill="1" applyBorder="1" applyAlignment="1">
      <alignment horizontal="right"/>
    </xf>
    <xf numFmtId="0" fontId="35" fillId="39" borderId="0" xfId="0" applyFont="1" applyFill="1" applyBorder="1" applyAlignment="1">
      <alignment horizontal="right"/>
    </xf>
    <xf numFmtId="3" fontId="0" fillId="0" borderId="16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35" fillId="0" borderId="14" xfId="0" applyFont="1" applyBorder="1" applyAlignment="1">
      <alignment/>
    </xf>
    <xf numFmtId="3" fontId="35" fillId="0" borderId="1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39" borderId="0" xfId="0" applyNumberFormat="1" applyFont="1" applyFill="1" applyAlignment="1">
      <alignment/>
    </xf>
    <xf numFmtId="172" fontId="35" fillId="39" borderId="0" xfId="57" applyNumberFormat="1" applyFont="1" applyFill="1" applyAlignment="1">
      <alignment/>
    </xf>
    <xf numFmtId="173" fontId="35" fillId="39" borderId="0" xfId="0" applyNumberFormat="1" applyFont="1" applyFill="1" applyAlignment="1">
      <alignment/>
    </xf>
    <xf numFmtId="174" fontId="0" fillId="0" borderId="0" xfId="0" applyNumberFormat="1" applyFill="1" applyAlignment="1">
      <alignment/>
    </xf>
    <xf numFmtId="0" fontId="25" fillId="0" borderId="0" xfId="0" applyFont="1" applyFill="1" applyBorder="1" applyAlignment="1">
      <alignment/>
    </xf>
    <xf numFmtId="172" fontId="0" fillId="0" borderId="0" xfId="57" applyNumberFormat="1" applyFont="1" applyFill="1" applyAlignment="1">
      <alignment/>
    </xf>
    <xf numFmtId="0" fontId="0" fillId="40" borderId="0" xfId="0" applyFill="1" applyAlignment="1">
      <alignment/>
    </xf>
    <xf numFmtId="0" fontId="35" fillId="0" borderId="0" xfId="0" applyFont="1" applyFill="1" applyAlignment="1">
      <alignment/>
    </xf>
    <xf numFmtId="9" fontId="0" fillId="0" borderId="0" xfId="57" applyFont="1" applyFill="1" applyBorder="1" applyAlignment="1">
      <alignment/>
    </xf>
    <xf numFmtId="174" fontId="2" fillId="34" borderId="0" xfId="0" applyNumberFormat="1" applyFont="1" applyFill="1" applyAlignment="1">
      <alignment/>
    </xf>
    <xf numFmtId="174" fontId="3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0" fillId="34" borderId="0" xfId="0" applyNumberFormat="1" applyFill="1" applyAlignment="1">
      <alignment/>
    </xf>
    <xf numFmtId="174" fontId="3" fillId="0" borderId="0" xfId="0" applyNumberFormat="1" applyFont="1" applyFill="1" applyAlignment="1">
      <alignment/>
    </xf>
    <xf numFmtId="174" fontId="0" fillId="0" borderId="14" xfId="0" applyNumberFormat="1" applyBorder="1" applyAlignment="1">
      <alignment/>
    </xf>
    <xf numFmtId="174" fontId="0" fillId="0" borderId="12" xfId="0" applyNumberFormat="1" applyBorder="1" applyAlignment="1">
      <alignment/>
    </xf>
    <xf numFmtId="174" fontId="0" fillId="0" borderId="17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0" xfId="0" applyNumberFormat="1" applyBorder="1" applyAlignment="1">
      <alignment/>
    </xf>
    <xf numFmtId="0" fontId="0" fillId="41" borderId="0" xfId="0" applyFill="1" applyAlignment="1">
      <alignment/>
    </xf>
    <xf numFmtId="9" fontId="0" fillId="0" borderId="0" xfId="57" applyFont="1" applyFill="1" applyAlignment="1">
      <alignment/>
    </xf>
    <xf numFmtId="3" fontId="35" fillId="0" borderId="0" xfId="0" applyNumberFormat="1" applyFont="1" applyBorder="1" applyAlignment="1">
      <alignment/>
    </xf>
    <xf numFmtId="0" fontId="1" fillId="34" borderId="0" xfId="0" applyFont="1" applyFill="1" applyAlignment="1">
      <alignment/>
    </xf>
    <xf numFmtId="172" fontId="0" fillId="0" borderId="0" xfId="0" applyNumberFormat="1" applyAlignment="1">
      <alignment/>
    </xf>
    <xf numFmtId="0" fontId="1" fillId="0" borderId="0" xfId="0" applyFont="1" applyFill="1" applyAlignment="1">
      <alignment/>
    </xf>
    <xf numFmtId="172" fontId="0" fillId="37" borderId="0" xfId="0" applyNumberFormat="1" applyFill="1" applyAlignment="1">
      <alignment/>
    </xf>
    <xf numFmtId="174" fontId="1" fillId="0" borderId="0" xfId="0" applyNumberFormat="1" applyFont="1" applyAlignment="1">
      <alignment/>
    </xf>
    <xf numFmtId="3" fontId="0" fillId="2" borderId="0" xfId="0" applyNumberFormat="1" applyFill="1" applyAlignment="1">
      <alignment/>
    </xf>
    <xf numFmtId="174" fontId="7" fillId="0" borderId="0" xfId="0" applyNumberFormat="1" applyFont="1" applyAlignment="1">
      <alignment/>
    </xf>
    <xf numFmtId="174" fontId="45" fillId="0" borderId="0" xfId="0" applyNumberFormat="1" applyFont="1" applyFill="1" applyAlignment="1">
      <alignment/>
    </xf>
    <xf numFmtId="174" fontId="0" fillId="38" borderId="0" xfId="0" applyNumberFormat="1" applyFill="1" applyAlignment="1">
      <alignment/>
    </xf>
    <xf numFmtId="174" fontId="45" fillId="0" borderId="0" xfId="0" applyNumberFormat="1" applyFont="1" applyAlignment="1">
      <alignment/>
    </xf>
    <xf numFmtId="175" fontId="0" fillId="0" borderId="0" xfId="0" applyNumberFormat="1" applyAlignment="1">
      <alignment/>
    </xf>
    <xf numFmtId="0" fontId="45" fillId="0" borderId="0" xfId="0" applyFont="1" applyAlignment="1">
      <alignment/>
    </xf>
    <xf numFmtId="3" fontId="45" fillId="0" borderId="0" xfId="0" applyNumberFormat="1" applyFont="1" applyAlignment="1">
      <alignment/>
    </xf>
    <xf numFmtId="1" fontId="45" fillId="0" borderId="0" xfId="0" applyNumberFormat="1" applyFont="1" applyAlignment="1">
      <alignment/>
    </xf>
    <xf numFmtId="4" fontId="0" fillId="0" borderId="0" xfId="0" applyNumberFormat="1" applyAlignment="1">
      <alignment/>
    </xf>
    <xf numFmtId="9" fontId="0" fillId="38" borderId="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1" fontId="0" fillId="0" borderId="0" xfId="0" applyNumberFormat="1" applyAlignment="1">
      <alignment/>
    </xf>
    <xf numFmtId="0" fontId="45" fillId="0" borderId="12" xfId="0" applyFont="1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0" fontId="45" fillId="0" borderId="14" xfId="0" applyFont="1" applyBorder="1" applyAlignment="1">
      <alignment/>
    </xf>
    <xf numFmtId="3" fontId="45" fillId="0" borderId="18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85"/>
          <c:w val="0.982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Франчайзи!$C$72</c:f>
              <c:strCache>
                <c:ptCount val="1"/>
                <c:pt idx="0">
                  <c:v>накопленная прибыль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Франчайзи!$D$72:$O$72</c:f>
              <c:numCache/>
            </c:numRef>
          </c:val>
        </c:ser>
        <c:axId val="3545558"/>
        <c:axId val="31910023"/>
      </c:barChart>
      <c:lineChart>
        <c:grouping val="standard"/>
        <c:varyColors val="0"/>
        <c:ser>
          <c:idx val="1"/>
          <c:order val="1"/>
          <c:tx>
            <c:strRef>
              <c:f>Франчайзи!$C$73</c:f>
              <c:strCache>
                <c:ptCount val="1"/>
                <c:pt idx="0">
                  <c:v>инвестиции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Франчайзи!$D$73:$O$73</c:f>
              <c:numCache/>
            </c:numRef>
          </c:val>
          <c:smooth val="0"/>
        </c:ser>
        <c:axId val="3545558"/>
        <c:axId val="31910023"/>
      </c:lineChart>
      <c:catAx>
        <c:axId val="3545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10023"/>
        <c:crosses val="autoZero"/>
        <c:auto val="1"/>
        <c:lblOffset val="100"/>
        <c:tickLblSkip val="1"/>
        <c:noMultiLvlLbl val="0"/>
      </c:catAx>
      <c:valAx>
        <c:axId val="319100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55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925"/>
          <c:y val="0.896"/>
          <c:w val="0.398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74</xdr:row>
      <xdr:rowOff>28575</xdr:rowOff>
    </xdr:from>
    <xdr:to>
      <xdr:col>11</xdr:col>
      <xdr:colOff>409575</xdr:colOff>
      <xdr:row>88</xdr:row>
      <xdr:rowOff>104775</xdr:rowOff>
    </xdr:to>
    <xdr:graphicFrame>
      <xdr:nvGraphicFramePr>
        <xdr:cNvPr id="1" name="Диаграмма 1"/>
        <xdr:cNvGraphicFramePr/>
      </xdr:nvGraphicFramePr>
      <xdr:xfrm>
        <a:off x="666750" y="14125575"/>
        <a:ext cx="74676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7"/>
  <sheetViews>
    <sheetView zoomScalePageLayoutView="0" workbookViewId="0" topLeftCell="A22">
      <selection activeCell="H41" sqref="H41"/>
    </sheetView>
  </sheetViews>
  <sheetFormatPr defaultColWidth="9.00390625" defaultRowHeight="15"/>
  <cols>
    <col min="1" max="1" width="12.140625" style="0" customWidth="1"/>
    <col min="2" max="2" width="10.140625" style="0" customWidth="1"/>
    <col min="3" max="3" width="11.421875" style="0" customWidth="1"/>
    <col min="4" max="5" width="10.00390625" style="0" customWidth="1"/>
    <col min="6" max="6" width="12.00390625" style="0" customWidth="1"/>
    <col min="7" max="7" width="9.8515625" style="0" customWidth="1"/>
    <col min="8" max="8" width="11.8515625" style="0" customWidth="1"/>
    <col min="9" max="9" width="11.00390625" style="0" customWidth="1"/>
    <col min="10" max="10" width="11.8515625" style="0" customWidth="1"/>
    <col min="11" max="11" width="12.00390625" style="0" customWidth="1"/>
    <col min="12" max="12" width="9.8515625" style="0" bestFit="1" customWidth="1"/>
    <col min="13" max="13" width="11.57421875" style="0" customWidth="1"/>
    <col min="14" max="14" width="16.7109375" style="0" bestFit="1" customWidth="1"/>
    <col min="15" max="15" width="11.140625" style="0" customWidth="1"/>
    <col min="16" max="17" width="9.00390625" style="0" customWidth="1"/>
    <col min="18" max="18" width="9.140625" style="0" customWidth="1"/>
  </cols>
  <sheetData>
    <row r="1" spans="1:26" ht="15">
      <c r="A1" s="1" t="s">
        <v>8</v>
      </c>
      <c r="B1" s="1"/>
      <c r="C1" s="1"/>
      <c r="D1" s="1"/>
      <c r="E1" s="1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7" ht="15">
      <c r="A2" t="s">
        <v>2</v>
      </c>
      <c r="C2" s="41">
        <v>0</v>
      </c>
      <c r="D2" t="s">
        <v>108</v>
      </c>
      <c r="F2" t="s">
        <v>93</v>
      </c>
      <c r="H2" s="30">
        <f>C33</f>
        <v>0</v>
      </c>
      <c r="I2" s="48"/>
      <c r="J2" s="48"/>
      <c r="K2" s="48"/>
      <c r="L2" s="48"/>
      <c r="M2" s="48"/>
      <c r="N2" s="48"/>
      <c r="O2" s="48"/>
      <c r="P2" s="75"/>
      <c r="Q2" s="48"/>
      <c r="R2" s="48"/>
      <c r="S2" s="48"/>
      <c r="T2" s="48"/>
      <c r="U2" s="48"/>
      <c r="V2" s="48"/>
      <c r="W2" s="48"/>
      <c r="X2" s="48"/>
      <c r="Y2" s="48"/>
      <c r="Z2" s="48"/>
      <c r="AA2" t="s">
        <v>108</v>
      </c>
    </row>
    <row r="3" spans="1:27" ht="15">
      <c r="A3" t="s">
        <v>4</v>
      </c>
      <c r="C3" s="41">
        <v>40</v>
      </c>
      <c r="D3" t="s">
        <v>108</v>
      </c>
      <c r="F3" s="22"/>
      <c r="G3" s="46"/>
      <c r="H3" s="48"/>
      <c r="I3" s="49"/>
      <c r="J3" s="48"/>
      <c r="K3" s="48"/>
      <c r="L3" s="48"/>
      <c r="M3" s="48"/>
      <c r="N3" s="48"/>
      <c r="O3" s="48"/>
      <c r="P3" s="75"/>
      <c r="Q3" s="48"/>
      <c r="R3" s="48"/>
      <c r="S3" s="46"/>
      <c r="T3" s="48"/>
      <c r="U3" s="48"/>
      <c r="V3" s="48"/>
      <c r="W3" s="48"/>
      <c r="X3" s="48"/>
      <c r="Y3" s="48"/>
      <c r="Z3" s="48"/>
      <c r="AA3" t="s">
        <v>47</v>
      </c>
    </row>
    <row r="4" spans="1:26" ht="15">
      <c r="A4" t="s">
        <v>3</v>
      </c>
      <c r="C4" s="43">
        <v>0</v>
      </c>
      <c r="D4" t="s">
        <v>70</v>
      </c>
      <c r="I4" s="30"/>
      <c r="J4" s="79"/>
      <c r="K4" s="48"/>
      <c r="L4" s="48"/>
      <c r="N4" s="48"/>
      <c r="O4" s="50"/>
      <c r="P4" s="48"/>
      <c r="Q4" s="46"/>
      <c r="R4" s="48"/>
      <c r="S4" s="46"/>
      <c r="T4" s="48"/>
      <c r="U4" s="48"/>
      <c r="V4" s="48"/>
      <c r="W4" s="48"/>
      <c r="X4" s="48"/>
      <c r="Y4" s="48"/>
      <c r="Z4" s="48"/>
    </row>
    <row r="5" spans="1:26" ht="15">
      <c r="A5" s="28" t="s">
        <v>129</v>
      </c>
      <c r="B5" s="28"/>
      <c r="C5" s="41">
        <v>0</v>
      </c>
      <c r="D5" t="s">
        <v>108</v>
      </c>
      <c r="F5" s="48"/>
      <c r="G5" s="51"/>
      <c r="H5" s="48"/>
      <c r="I5" s="48"/>
      <c r="J5" s="48"/>
      <c r="K5" s="48"/>
      <c r="L5" s="48"/>
      <c r="M5" s="48"/>
      <c r="N5" s="48"/>
      <c r="O5" s="50"/>
      <c r="P5" s="28"/>
      <c r="Q5" s="46"/>
      <c r="R5" s="50"/>
      <c r="S5" s="46"/>
      <c r="T5" s="48"/>
      <c r="U5" s="48"/>
      <c r="V5" s="48"/>
      <c r="W5" s="48"/>
      <c r="X5" s="48"/>
      <c r="Y5" s="48"/>
      <c r="Z5" s="48"/>
    </row>
    <row r="6" spans="4:31" ht="15">
      <c r="D6" s="28" t="s">
        <v>130</v>
      </c>
      <c r="K6" s="48"/>
      <c r="L6" s="48"/>
      <c r="M6" s="48"/>
      <c r="N6" s="48"/>
      <c r="O6" s="48"/>
      <c r="P6" s="48"/>
      <c r="Q6" s="48"/>
      <c r="R6" s="48"/>
      <c r="S6" s="48"/>
      <c r="T6" s="50"/>
      <c r="U6" s="48"/>
      <c r="V6" s="46"/>
      <c r="W6" s="50"/>
      <c r="X6" s="46"/>
      <c r="Y6" s="48"/>
      <c r="Z6" s="48"/>
      <c r="AA6" s="48"/>
      <c r="AB6" s="48"/>
      <c r="AC6" s="48"/>
      <c r="AD6" s="48"/>
      <c r="AE6" s="48"/>
    </row>
    <row r="7" spans="1:31" ht="15">
      <c r="A7" s="2"/>
      <c r="B7" s="5"/>
      <c r="C7" s="3" t="s">
        <v>99</v>
      </c>
      <c r="D7" s="2"/>
      <c r="E7" s="35"/>
      <c r="F7" s="2"/>
      <c r="G7" s="56">
        <v>4</v>
      </c>
      <c r="H7" s="3" t="s">
        <v>98</v>
      </c>
      <c r="I7" s="2"/>
      <c r="K7" s="48"/>
      <c r="L7" s="48"/>
      <c r="M7" s="52"/>
      <c r="N7" s="48"/>
      <c r="O7" s="48"/>
      <c r="P7" s="48"/>
      <c r="Q7" s="48"/>
      <c r="R7" s="48"/>
      <c r="S7" s="48"/>
      <c r="T7" s="50"/>
      <c r="U7" s="48"/>
      <c r="V7" s="46"/>
      <c r="W7" s="50"/>
      <c r="X7" s="46"/>
      <c r="Y7" s="48"/>
      <c r="Z7" s="48"/>
      <c r="AA7" s="48"/>
      <c r="AB7" s="48"/>
      <c r="AC7" s="48"/>
      <c r="AD7" s="48"/>
      <c r="AE7" s="48"/>
    </row>
    <row r="8" spans="1:31" ht="15">
      <c r="A8" s="4" t="s">
        <v>0</v>
      </c>
      <c r="B8" s="6"/>
      <c r="C8" s="4" t="s">
        <v>1</v>
      </c>
      <c r="D8" s="4"/>
      <c r="E8" s="35"/>
      <c r="F8" s="4" t="s">
        <v>0</v>
      </c>
      <c r="G8" s="6"/>
      <c r="H8" s="4" t="s">
        <v>1</v>
      </c>
      <c r="I8" s="4"/>
      <c r="K8" s="48"/>
      <c r="L8" s="48"/>
      <c r="M8" s="48"/>
      <c r="N8" s="48"/>
      <c r="O8" s="48"/>
      <c r="P8" s="48"/>
      <c r="Q8" s="48"/>
      <c r="R8" s="48"/>
      <c r="S8" s="48"/>
      <c r="T8" s="50"/>
      <c r="U8" s="48"/>
      <c r="V8" s="46"/>
      <c r="W8" s="50"/>
      <c r="X8" s="46"/>
      <c r="Y8" s="48"/>
      <c r="Z8" s="48"/>
      <c r="AA8" s="48"/>
      <c r="AB8" s="48"/>
      <c r="AC8" s="48"/>
      <c r="AD8" s="48"/>
      <c r="AE8" s="48"/>
    </row>
    <row r="9" spans="1:31" ht="15">
      <c r="A9" s="57" t="str">
        <f>Франчайзер!C4</f>
        <v>Роялти</v>
      </c>
      <c r="B9" s="88">
        <f>Франчайзер!D4</f>
        <v>0</v>
      </c>
      <c r="C9" t="s">
        <v>122</v>
      </c>
      <c r="D9" s="83">
        <f>Франчайзер!D9</f>
        <v>7466.666666666667</v>
      </c>
      <c r="E9" s="35"/>
      <c r="F9" t="str">
        <f>Франчайзи!C4</f>
        <v>Мебель</v>
      </c>
      <c r="G9" s="104">
        <f>Франчайзи!D4</f>
        <v>3500</v>
      </c>
      <c r="H9" t="s">
        <v>141</v>
      </c>
      <c r="I9" s="83">
        <f>Франчайзи!D8</f>
        <v>2333.3333333333335</v>
      </c>
      <c r="K9" s="53"/>
      <c r="L9" s="46"/>
      <c r="M9" s="48"/>
      <c r="N9" s="46"/>
      <c r="O9" s="48"/>
      <c r="P9" s="48"/>
      <c r="Q9" s="48"/>
      <c r="R9" s="48"/>
      <c r="S9" s="48"/>
      <c r="T9" s="50"/>
      <c r="U9" s="48"/>
      <c r="V9" s="46"/>
      <c r="W9" s="50"/>
      <c r="X9" s="46"/>
      <c r="Y9" s="48"/>
      <c r="Z9" s="48"/>
      <c r="AA9" s="48"/>
      <c r="AB9" s="48"/>
      <c r="AC9" s="48"/>
      <c r="AD9" s="48"/>
      <c r="AE9" s="48"/>
    </row>
    <row r="10" spans="1:31" ht="15">
      <c r="A10" s="57" t="str">
        <f>Франчайзер!C5</f>
        <v>Маркетинговые взносы</v>
      </c>
      <c r="B10" s="86">
        <f>Франчайзер!D5</f>
        <v>160</v>
      </c>
      <c r="C10" t="s">
        <v>6</v>
      </c>
      <c r="D10" s="90">
        <f>Франчайзер!D14</f>
        <v>104.16</v>
      </c>
      <c r="E10" s="35"/>
      <c r="F10" t="str">
        <f>Франчайзи!C5</f>
        <v>Интерьер</v>
      </c>
      <c r="G10" s="104">
        <f>Франчайзи!D5</f>
        <v>150</v>
      </c>
      <c r="H10" t="s">
        <v>6</v>
      </c>
      <c r="I10" s="83">
        <f>Франчайзи!D11+Франчайзи!D19</f>
        <v>39.06</v>
      </c>
      <c r="K10" s="53"/>
      <c r="L10" s="46"/>
      <c r="M10" s="48"/>
      <c r="N10" s="46"/>
      <c r="O10" s="48"/>
      <c r="P10" s="48"/>
      <c r="Q10" s="46"/>
      <c r="R10" s="48"/>
      <c r="S10" s="48"/>
      <c r="T10" s="50"/>
      <c r="U10" s="48"/>
      <c r="V10" s="46"/>
      <c r="W10" s="50"/>
      <c r="X10" s="46"/>
      <c r="Y10" s="48"/>
      <c r="Z10" s="48"/>
      <c r="AA10" s="48"/>
      <c r="AB10" s="48"/>
      <c r="AC10" s="48"/>
      <c r="AD10" s="48"/>
      <c r="AE10" s="48"/>
    </row>
    <row r="11" spans="1:31" ht="15">
      <c r="A11" s="57" t="str">
        <f>Франчайзер!C6</f>
        <v>Паушальные взносы</v>
      </c>
      <c r="B11" s="86">
        <f>Франчайзер!D6</f>
        <v>0</v>
      </c>
      <c r="C11" t="s">
        <v>9</v>
      </c>
      <c r="D11" s="90">
        <f>Франчайзер!D34</f>
        <v>160</v>
      </c>
      <c r="E11" s="35"/>
      <c r="G11" s="86"/>
      <c r="H11" t="s">
        <v>15</v>
      </c>
      <c r="I11" s="83">
        <f>Франчайзи!D15+Франчайзи!D16+Франчайзи!D18-Франчайзи!D19-Франчайзи!D31</f>
        <v>184.3</v>
      </c>
      <c r="K11" s="53"/>
      <c r="L11" s="49"/>
      <c r="M11" s="48"/>
      <c r="N11" s="46"/>
      <c r="O11" s="48"/>
      <c r="P11" s="51"/>
      <c r="Q11" s="51"/>
      <c r="R11" s="51"/>
      <c r="S11" s="48"/>
      <c r="T11" s="50"/>
      <c r="U11" s="48"/>
      <c r="V11" s="46"/>
      <c r="W11" s="50"/>
      <c r="X11" s="46"/>
      <c r="Y11" s="48"/>
      <c r="Z11" s="48"/>
      <c r="AA11" s="48"/>
      <c r="AB11" s="48"/>
      <c r="AC11" s="48"/>
      <c r="AD11" s="48"/>
      <c r="AE11" s="48"/>
    </row>
    <row r="12" spans="1:31" ht="15">
      <c r="A12" s="57" t="str">
        <f>Франчайзер!C7</f>
        <v>продажи</v>
      </c>
      <c r="B12" s="86">
        <f>Франчайзер!D7</f>
        <v>9333.333333333334</v>
      </c>
      <c r="C12" t="s">
        <v>15</v>
      </c>
      <c r="D12" s="90">
        <f>Франчайзер!D11+Франчайзер!D13-Франчайзер!D14+Франчайзер!D37</f>
        <v>105.93333333333334</v>
      </c>
      <c r="E12" s="35"/>
      <c r="G12" s="86"/>
      <c r="H12" t="s">
        <v>2</v>
      </c>
      <c r="I12" s="83">
        <f>Франчайзи!D32</f>
        <v>0</v>
      </c>
      <c r="K12" s="48"/>
      <c r="L12" s="48"/>
      <c r="M12" s="48"/>
      <c r="N12" s="46"/>
      <c r="O12" s="48"/>
      <c r="P12" s="48"/>
      <c r="Q12" s="48"/>
      <c r="R12" s="48"/>
      <c r="S12" s="48"/>
      <c r="T12" s="50"/>
      <c r="U12" s="48"/>
      <c r="V12" s="46"/>
      <c r="W12" s="50"/>
      <c r="X12" s="46"/>
      <c r="Y12" s="48"/>
      <c r="Z12" s="48"/>
      <c r="AA12" s="48"/>
      <c r="AB12" s="48"/>
      <c r="AC12" s="48"/>
      <c r="AD12" s="48"/>
      <c r="AE12" s="48"/>
    </row>
    <row r="13" spans="1:31" ht="15">
      <c r="A13" s="57"/>
      <c r="B13" s="87"/>
      <c r="D13" s="83"/>
      <c r="E13" s="35"/>
      <c r="G13" s="86"/>
      <c r="H13" t="s">
        <v>7</v>
      </c>
      <c r="I13" s="83">
        <f>Франчайзи!D33</f>
        <v>40</v>
      </c>
      <c r="K13" s="48"/>
      <c r="L13" s="48"/>
      <c r="M13" s="48"/>
      <c r="N13" s="46"/>
      <c r="O13" s="48"/>
      <c r="P13" s="48"/>
      <c r="Q13" s="48"/>
      <c r="R13" s="48"/>
      <c r="S13" s="48"/>
      <c r="T13" s="50"/>
      <c r="U13" s="48"/>
      <c r="V13" s="46"/>
      <c r="W13" s="50"/>
      <c r="X13" s="46"/>
      <c r="Y13" s="48"/>
      <c r="Z13" s="48"/>
      <c r="AA13" s="48"/>
      <c r="AB13" s="48"/>
      <c r="AC13" s="48"/>
      <c r="AD13" s="48"/>
      <c r="AE13" s="48"/>
    </row>
    <row r="14" spans="1:31" ht="15">
      <c r="A14" s="11" t="s">
        <v>5</v>
      </c>
      <c r="B14" s="88">
        <f>SUM(B9:B13)</f>
        <v>9493.333333333334</v>
      </c>
      <c r="C14" s="11" t="s">
        <v>5</v>
      </c>
      <c r="D14" s="89">
        <f>SUM(D9:D13)</f>
        <v>7836.76</v>
      </c>
      <c r="E14" s="35"/>
      <c r="F14" s="11" t="s">
        <v>5</v>
      </c>
      <c r="G14" s="88">
        <f>SUM(G9:G13)</f>
        <v>3650</v>
      </c>
      <c r="H14" s="11" t="s">
        <v>5</v>
      </c>
      <c r="I14" s="89">
        <f>SUM(I9:I13)</f>
        <v>2596.6933333333336</v>
      </c>
      <c r="K14" s="48"/>
      <c r="L14" s="46"/>
      <c r="M14" s="48"/>
      <c r="N14" s="46"/>
      <c r="O14" s="48"/>
      <c r="P14" s="48"/>
      <c r="Q14" s="48"/>
      <c r="R14" s="48"/>
      <c r="S14" s="48"/>
      <c r="T14" s="50"/>
      <c r="U14" s="48"/>
      <c r="V14" s="46"/>
      <c r="W14" s="50"/>
      <c r="X14" s="46"/>
      <c r="Y14" s="48"/>
      <c r="Z14" s="48"/>
      <c r="AA14" s="48"/>
      <c r="AB14" s="48"/>
      <c r="AC14" s="48"/>
      <c r="AD14" s="48"/>
      <c r="AE14" s="48"/>
    </row>
    <row r="15" spans="2:31" ht="15">
      <c r="B15" s="83"/>
      <c r="G15" s="83"/>
      <c r="K15" s="48"/>
      <c r="L15" s="48"/>
      <c r="M15" s="48"/>
      <c r="N15" s="48"/>
      <c r="O15" s="48"/>
      <c r="P15" s="48"/>
      <c r="Q15" s="48"/>
      <c r="R15" s="48"/>
      <c r="S15" s="48"/>
      <c r="T15" s="50"/>
      <c r="U15" s="48"/>
      <c r="V15" s="46"/>
      <c r="W15" s="50"/>
      <c r="X15" s="46"/>
      <c r="Y15" s="48"/>
      <c r="Z15" s="48"/>
      <c r="AA15" s="48"/>
      <c r="AB15" s="48"/>
      <c r="AC15" s="48"/>
      <c r="AD15" s="48"/>
      <c r="AE15" s="48"/>
    </row>
    <row r="16" spans="1:31" ht="15">
      <c r="A16" s="1" t="s">
        <v>83</v>
      </c>
      <c r="B16" s="82">
        <f>B14-D14</f>
        <v>1656.5733333333337</v>
      </c>
      <c r="F16" s="1" t="s">
        <v>83</v>
      </c>
      <c r="G16" s="82">
        <f>G14-I14</f>
        <v>1053.3066666666664</v>
      </c>
      <c r="K16" s="52"/>
      <c r="L16" s="54"/>
      <c r="M16" s="48"/>
      <c r="N16" s="48"/>
      <c r="O16" s="48"/>
      <c r="P16" s="48"/>
      <c r="Q16" s="48"/>
      <c r="R16" s="48"/>
      <c r="S16" s="48"/>
      <c r="T16" s="50"/>
      <c r="U16" s="48"/>
      <c r="V16" s="46"/>
      <c r="W16" s="50"/>
      <c r="X16" s="46"/>
      <c r="Y16" s="48"/>
      <c r="Z16" s="48"/>
      <c r="AA16" s="48"/>
      <c r="AB16" s="48"/>
      <c r="AC16" s="48"/>
      <c r="AD16" s="48"/>
      <c r="AE16" s="48"/>
    </row>
    <row r="17" spans="1:31" ht="15">
      <c r="A17" s="1" t="s">
        <v>82</v>
      </c>
      <c r="B17" s="82">
        <f>Франчайзер!D41</f>
        <v>248.48600000000002</v>
      </c>
      <c r="F17" s="1" t="s">
        <v>82</v>
      </c>
      <c r="G17" s="82">
        <f>Франчайзи!D40</f>
        <v>144.76070588235294</v>
      </c>
      <c r="K17" s="52"/>
      <c r="L17" s="54"/>
      <c r="M17" s="48"/>
      <c r="N17" s="48"/>
      <c r="O17" s="48"/>
      <c r="P17" s="48"/>
      <c r="Q17" s="48"/>
      <c r="R17" s="48"/>
      <c r="S17" s="48"/>
      <c r="T17" s="50"/>
      <c r="U17" s="48"/>
      <c r="V17" s="46"/>
      <c r="W17" s="50"/>
      <c r="X17" s="46"/>
      <c r="Y17" s="48"/>
      <c r="Z17" s="48"/>
      <c r="AA17" s="48"/>
      <c r="AB17" s="48"/>
      <c r="AC17" s="48"/>
      <c r="AD17" s="48"/>
      <c r="AE17" s="48"/>
    </row>
    <row r="18" spans="1:31" ht="15">
      <c r="A18" s="1" t="s">
        <v>90</v>
      </c>
      <c r="B18" s="82">
        <f>B16-B17</f>
        <v>1408.0873333333336</v>
      </c>
      <c r="F18" s="1" t="s">
        <v>90</v>
      </c>
      <c r="G18" s="82">
        <f>G16-G17</f>
        <v>908.5459607843135</v>
      </c>
      <c r="K18" s="52"/>
      <c r="L18" s="54"/>
      <c r="M18" s="48"/>
      <c r="N18" s="48"/>
      <c r="O18" s="48"/>
      <c r="P18" s="48"/>
      <c r="Q18" s="48"/>
      <c r="R18" s="48"/>
      <c r="S18" s="48"/>
      <c r="T18" s="50"/>
      <c r="U18" s="48"/>
      <c r="V18" s="46"/>
      <c r="W18" s="50"/>
      <c r="X18" s="46"/>
      <c r="Y18" s="48"/>
      <c r="Z18" s="48"/>
      <c r="AA18" s="48"/>
      <c r="AB18" s="48"/>
      <c r="AC18" s="48"/>
      <c r="AD18" s="48"/>
      <c r="AE18" s="48"/>
    </row>
    <row r="19" spans="11:31" ht="15">
      <c r="K19" s="48"/>
      <c r="L19" s="48"/>
      <c r="M19" s="48"/>
      <c r="N19" s="48"/>
      <c r="O19" s="48"/>
      <c r="P19" s="48"/>
      <c r="Q19" s="48"/>
      <c r="R19" s="48"/>
      <c r="S19" s="48"/>
      <c r="T19" s="50"/>
      <c r="U19" s="48"/>
      <c r="V19" s="46"/>
      <c r="W19" s="50"/>
      <c r="X19" s="46"/>
      <c r="Y19" s="48"/>
      <c r="Z19" s="48"/>
      <c r="AA19" s="48"/>
      <c r="AB19" s="48"/>
      <c r="AC19" s="48"/>
      <c r="AD19" s="48"/>
      <c r="AE19" s="48"/>
    </row>
    <row r="20" spans="11:31" ht="15">
      <c r="K20" s="48"/>
      <c r="L20" s="48"/>
      <c r="M20" s="48"/>
      <c r="N20" s="48"/>
      <c r="O20" s="48"/>
      <c r="P20" s="48"/>
      <c r="Q20" s="48"/>
      <c r="R20" s="48"/>
      <c r="S20" s="48"/>
      <c r="T20" s="50"/>
      <c r="U20" s="48"/>
      <c r="V20" s="46"/>
      <c r="W20" s="50"/>
      <c r="X20" s="46"/>
      <c r="Y20" s="48"/>
      <c r="Z20" s="48"/>
      <c r="AA20" s="48"/>
      <c r="AB20" s="48"/>
      <c r="AC20" s="48"/>
      <c r="AD20" s="48"/>
      <c r="AE20" s="48"/>
    </row>
    <row r="21" spans="1:31" ht="15">
      <c r="A21" s="20" t="s">
        <v>89</v>
      </c>
      <c r="B21" s="19"/>
      <c r="C21" s="36">
        <f>B18/B14</f>
        <v>0.1483238061797753</v>
      </c>
      <c r="F21" s="20" t="s">
        <v>89</v>
      </c>
      <c r="G21" s="19"/>
      <c r="H21" s="36">
        <f>G18/G14</f>
        <v>0.2489167015847434</v>
      </c>
      <c r="K21" s="52"/>
      <c r="L21" s="48"/>
      <c r="M21" s="55"/>
      <c r="N21" s="48"/>
      <c r="O21" s="48"/>
      <c r="P21" s="48"/>
      <c r="Q21" s="48"/>
      <c r="R21" s="48"/>
      <c r="S21" s="48"/>
      <c r="T21" s="50"/>
      <c r="U21" s="48"/>
      <c r="V21" s="46"/>
      <c r="W21" s="50"/>
      <c r="X21" s="46"/>
      <c r="Y21" s="48"/>
      <c r="Z21" s="48"/>
      <c r="AA21" s="48"/>
      <c r="AB21" s="48"/>
      <c r="AC21" s="48"/>
      <c r="AD21" s="48"/>
      <c r="AE21" s="48"/>
    </row>
    <row r="22" spans="11:31" ht="15"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6"/>
      <c r="W22" s="50"/>
      <c r="X22" s="46"/>
      <c r="Y22" s="48"/>
      <c r="Z22" s="48"/>
      <c r="AA22" s="48"/>
      <c r="AB22" s="48"/>
      <c r="AC22" s="48"/>
      <c r="AD22" s="48"/>
      <c r="AE22" s="48"/>
    </row>
    <row r="23" spans="11:31" ht="15"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</row>
    <row r="24" spans="1:31" ht="15">
      <c r="A24" s="20" t="s">
        <v>126</v>
      </c>
      <c r="B24" s="19"/>
      <c r="C24" s="19"/>
      <c r="D24" s="28"/>
      <c r="F24" s="20" t="s">
        <v>105</v>
      </c>
      <c r="G24" s="19"/>
      <c r="H24" s="77"/>
      <c r="I24" s="28"/>
      <c r="J24" s="28"/>
      <c r="K24" s="52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5">
      <c r="A25" t="s">
        <v>91</v>
      </c>
      <c r="C25">
        <v>240</v>
      </c>
      <c r="F25" t="s">
        <v>124</v>
      </c>
      <c r="H25" s="8">
        <v>0</v>
      </c>
      <c r="I25" s="28"/>
      <c r="J25" s="78"/>
      <c r="K25" s="28"/>
      <c r="L25" s="28"/>
      <c r="M25" s="28"/>
      <c r="N25" s="78"/>
      <c r="O25" s="28"/>
      <c r="P25" s="2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</row>
    <row r="26" spans="1:31" ht="15">
      <c r="A26" t="s">
        <v>135</v>
      </c>
      <c r="C26">
        <v>40</v>
      </c>
      <c r="F26" t="s">
        <v>88</v>
      </c>
      <c r="H26" s="8">
        <v>100</v>
      </c>
      <c r="I26" s="28"/>
      <c r="J26" s="78"/>
      <c r="O26" s="28"/>
      <c r="P26" s="2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</row>
    <row r="27" spans="1:31" ht="15">
      <c r="A27" t="s">
        <v>181</v>
      </c>
      <c r="C27">
        <v>15</v>
      </c>
      <c r="H27" s="30"/>
      <c r="I27" s="28"/>
      <c r="J27" s="28"/>
      <c r="O27" s="28"/>
      <c r="P27" s="31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</row>
    <row r="28" spans="1:31" ht="15">
      <c r="A28" t="s">
        <v>182</v>
      </c>
      <c r="C28" s="30">
        <v>20</v>
      </c>
      <c r="F28" t="s">
        <v>92</v>
      </c>
      <c r="H28" s="8">
        <f>SUM(H25:H27)</f>
        <v>100</v>
      </c>
      <c r="I28" s="28"/>
      <c r="J28" s="28"/>
      <c r="O28" s="28"/>
      <c r="P28" s="31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</row>
    <row r="29" spans="1:31" ht="15">
      <c r="A29" t="s">
        <v>183</v>
      </c>
      <c r="C29" s="30">
        <v>20</v>
      </c>
      <c r="I29" s="18"/>
      <c r="J29" s="28"/>
      <c r="O29" s="28"/>
      <c r="P29" s="46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</row>
    <row r="30" spans="6:31" ht="15">
      <c r="F30" t="s">
        <v>123</v>
      </c>
      <c r="H30" s="30" t="e">
        <f>($H$28+($C$25+$C$27)/$G$7)/K30</f>
        <v>#DIV/0!</v>
      </c>
      <c r="I30" s="28"/>
      <c r="J30" s="28" t="s">
        <v>169</v>
      </c>
      <c r="K30" s="9">
        <v>0</v>
      </c>
      <c r="O30" s="28"/>
      <c r="P30" s="31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</row>
    <row r="31" spans="1:31" ht="15">
      <c r="A31" t="s">
        <v>92</v>
      </c>
      <c r="C31" s="30">
        <f>SUM(C25:C29)</f>
        <v>335</v>
      </c>
      <c r="I31" s="28"/>
      <c r="J31" s="28"/>
      <c r="O31" s="28"/>
      <c r="P31" s="31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</row>
    <row r="32" spans="3:31" ht="15">
      <c r="C32" s="30"/>
      <c r="I32" s="28"/>
      <c r="J32" s="28"/>
      <c r="O32" s="28"/>
      <c r="P32" s="31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</row>
    <row r="33" spans="1:31" ht="15">
      <c r="A33" t="s">
        <v>93</v>
      </c>
      <c r="C33" s="30">
        <f>C4*G7*D33</f>
        <v>0</v>
      </c>
      <c r="D33" s="9">
        <v>1</v>
      </c>
      <c r="F33" s="20" t="s">
        <v>96</v>
      </c>
      <c r="G33" s="19"/>
      <c r="H33" s="19"/>
      <c r="I33" s="28"/>
      <c r="J33" s="28"/>
      <c r="O33" s="28"/>
      <c r="P33" s="46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</row>
    <row r="34" spans="1:31" ht="15">
      <c r="A34" t="s">
        <v>103</v>
      </c>
      <c r="C34" s="8">
        <f>B18</f>
        <v>1408.0873333333336</v>
      </c>
      <c r="F34" s="44" t="s">
        <v>97</v>
      </c>
      <c r="G34" s="44"/>
      <c r="H34" s="45">
        <f>C4</f>
        <v>0</v>
      </c>
      <c r="I34" s="28"/>
      <c r="J34" s="2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</row>
    <row r="35" spans="3:31" ht="15">
      <c r="C35" s="8"/>
      <c r="F35" t="s">
        <v>170</v>
      </c>
      <c r="H35" s="8">
        <v>2500</v>
      </c>
      <c r="I35" s="28"/>
      <c r="J35" s="47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</row>
    <row r="36" spans="1:31" ht="15">
      <c r="A36" t="s">
        <v>145</v>
      </c>
      <c r="C36" s="30">
        <f>C34+C33-C31</f>
        <v>1073.0873333333336</v>
      </c>
      <c r="F36" t="s">
        <v>171</v>
      </c>
      <c r="H36">
        <v>0</v>
      </c>
      <c r="I36" s="28"/>
      <c r="J36" s="2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</row>
    <row r="37" spans="3:31" ht="15">
      <c r="C37" s="37"/>
      <c r="F37" t="s">
        <v>172</v>
      </c>
      <c r="H37" s="8">
        <f>SUM(H38:H40)</f>
        <v>363.36</v>
      </c>
      <c r="I37" s="48"/>
      <c r="J37" s="2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</row>
    <row r="38" spans="3:31" ht="15">
      <c r="C38" s="38"/>
      <c r="F38" s="105" t="s">
        <v>173</v>
      </c>
      <c r="H38" s="106">
        <f>Франчайзи!D23</f>
        <v>100</v>
      </c>
      <c r="I38" s="28"/>
      <c r="J38" s="2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</row>
    <row r="39" spans="3:31" ht="15">
      <c r="C39" s="37"/>
      <c r="F39" s="105" t="s">
        <v>174</v>
      </c>
      <c r="H39" s="105">
        <f>Франчайзи!D23</f>
        <v>100</v>
      </c>
      <c r="I39" s="28"/>
      <c r="J39" s="2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</row>
    <row r="40" spans="3:31" ht="15">
      <c r="C40" s="37"/>
      <c r="F40" s="105" t="s">
        <v>175</v>
      </c>
      <c r="H40" s="107">
        <f>Франчайзи!D11+Франчайзи!D15+Франчайзи!D16+Франчайзи!D19+Франчайзи!D24+Франчайзи!D27+Франчайзи!D33</f>
        <v>163.36</v>
      </c>
      <c r="I40" s="28"/>
      <c r="J40" s="2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9:31" ht="15">
      <c r="I41" s="28"/>
      <c r="J41" s="2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</row>
    <row r="42" spans="9:31" ht="15">
      <c r="I42" s="28"/>
      <c r="J42" s="2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</row>
    <row r="43" spans="9:31" ht="15">
      <c r="I43" s="28"/>
      <c r="J43" s="2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</row>
    <row r="44" spans="6:31" ht="15">
      <c r="F44" t="s">
        <v>5</v>
      </c>
      <c r="H44" s="8">
        <f>H34+H35+H36+H37</f>
        <v>2863.36</v>
      </c>
      <c r="I44" s="28"/>
      <c r="J44" s="2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</row>
    <row r="45" spans="9:31" ht="15">
      <c r="I45" s="28"/>
      <c r="J45" s="2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</row>
    <row r="46" spans="9:31" ht="15">
      <c r="I46" s="28"/>
      <c r="J46" s="2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</row>
    <row r="47" spans="9:31" ht="15">
      <c r="I47" s="28"/>
      <c r="J47" s="2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</row>
    <row r="48" spans="9:31" ht="15">
      <c r="I48" s="28"/>
      <c r="J48" s="2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</row>
    <row r="49" spans="9:31" ht="15">
      <c r="I49" s="28"/>
      <c r="J49" s="2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</row>
    <row r="50" spans="9:31" ht="15">
      <c r="I50" s="28"/>
      <c r="J50" s="2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</row>
    <row r="51" spans="9:31" ht="15">
      <c r="I51" s="28"/>
      <c r="J51" s="2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</row>
    <row r="52" spans="9:31" ht="15">
      <c r="I52" s="28"/>
      <c r="J52" s="2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</row>
    <row r="53" spans="9:31" ht="15">
      <c r="I53" s="28"/>
      <c r="J53" s="2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</row>
    <row r="54" spans="9:31" ht="15">
      <c r="I54" s="28"/>
      <c r="J54" s="2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</row>
    <row r="55" spans="9:31" ht="15">
      <c r="I55" s="28"/>
      <c r="J55" s="2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</row>
    <row r="56" spans="15:31" ht="15"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</row>
    <row r="57" spans="15:31" ht="15"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</row>
    <row r="58" spans="15:31" ht="15"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</row>
    <row r="59" spans="15:31" ht="15"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</row>
    <row r="60" spans="15:31" ht="15"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</row>
    <row r="61" spans="15:31" ht="15"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</row>
    <row r="62" spans="15:31" ht="15"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</row>
    <row r="63" spans="15:31" ht="15"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</row>
    <row r="64" spans="15:31" ht="15"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</row>
    <row r="65" spans="15:31" ht="15"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</row>
    <row r="66" spans="15:31" ht="15"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</row>
    <row r="67" spans="15:31" ht="15"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</row>
    <row r="68" spans="15:31" ht="15"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</row>
    <row r="69" spans="15:31" ht="15"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</row>
    <row r="70" spans="15:31" ht="15"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</row>
    <row r="71" spans="15:31" ht="15"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</row>
    <row r="72" spans="15:31" ht="15"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</row>
    <row r="73" spans="15:31" ht="15"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</row>
    <row r="74" spans="15:31" ht="15"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</row>
    <row r="75" spans="15:31" ht="15"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</row>
    <row r="76" spans="15:31" ht="15"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</row>
    <row r="77" spans="15:31" ht="15"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</row>
    <row r="78" spans="15:31" ht="15"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</row>
    <row r="79" spans="15:31" ht="15"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</row>
    <row r="80" spans="15:31" ht="15"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</row>
    <row r="81" spans="11:31" ht="15"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</row>
    <row r="82" spans="11:31" ht="15"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</row>
    <row r="83" spans="11:31" ht="15"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</row>
    <row r="84" spans="11:31" ht="15"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</row>
    <row r="85" spans="11:31" ht="15"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</row>
    <row r="86" spans="11:31" ht="15"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</row>
    <row r="87" spans="11:31" ht="15"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</row>
    <row r="88" spans="11:31" ht="15"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</row>
    <row r="89" spans="11:31" ht="15"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</row>
    <row r="90" spans="11:31" ht="15"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</row>
    <row r="91" spans="11:31" ht="15"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</row>
    <row r="92" spans="11:31" ht="15"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</row>
    <row r="93" spans="11:31" ht="15"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</row>
    <row r="94" spans="11:31" ht="15"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</row>
    <row r="95" spans="11:31" ht="15"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</row>
    <row r="96" spans="11:31" ht="15"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</row>
    <row r="97" spans="11:31" ht="15"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</row>
    <row r="98" spans="11:31" ht="15"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</row>
    <row r="99" spans="11:31" ht="15"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</row>
    <row r="100" spans="11:31" ht="15"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</row>
    <row r="101" spans="11:31" ht="15"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</row>
    <row r="102" spans="11:31" ht="15"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</row>
    <row r="103" spans="11:31" ht="15"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</row>
    <row r="104" spans="11:31" ht="15"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</row>
    <row r="105" spans="11:31" ht="15"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</row>
    <row r="106" spans="11:31" ht="15"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</row>
    <row r="107" spans="11:31" ht="15"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</row>
    <row r="108" spans="11:31" ht="15"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</row>
    <row r="109" spans="11:31" ht="15"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1:31" ht="15"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</row>
    <row r="111" spans="11:31" ht="15"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</row>
    <row r="112" spans="11:31" ht="15"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</row>
    <row r="113" spans="11:31" ht="15"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</row>
    <row r="114" spans="11:31" ht="15"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</row>
    <row r="115" spans="11:31" ht="15"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</row>
    <row r="116" spans="11:31" ht="15"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</row>
    <row r="117" spans="11:31" ht="15"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</row>
    <row r="118" spans="11:31" ht="15"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</row>
    <row r="119" spans="11:31" ht="15"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</row>
    <row r="120" spans="11:31" ht="15"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</row>
    <row r="121" spans="11:31" ht="15"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</row>
    <row r="122" spans="11:31" ht="15"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</row>
    <row r="123" spans="11:31" ht="15"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</row>
    <row r="124" spans="11:31" ht="15"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</row>
    <row r="125" spans="11:31" ht="15"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</row>
    <row r="126" spans="11:31" ht="15"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</row>
    <row r="127" spans="11:31" ht="15"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</row>
    <row r="128" spans="11:31" ht="15"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</row>
    <row r="129" spans="11:31" ht="15"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</row>
    <row r="130" spans="11:31" ht="15"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</row>
    <row r="131" spans="11:31" ht="15"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</row>
    <row r="132" spans="11:31" ht="15"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</row>
    <row r="133" spans="11:31" ht="15"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</row>
    <row r="134" spans="11:31" ht="15"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</row>
    <row r="135" spans="11:31" ht="15"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</row>
    <row r="136" spans="11:31" ht="15"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</row>
    <row r="137" spans="11:31" ht="15"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</row>
    <row r="138" spans="11:31" ht="15"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</row>
    <row r="139" spans="11:31" ht="15"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</row>
    <row r="140" spans="11:31" ht="15"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</row>
    <row r="141" spans="11:31" ht="15"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</row>
    <row r="142" spans="11:31" ht="15"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</row>
    <row r="143" spans="11:31" ht="15"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</row>
    <row r="144" spans="11:31" ht="15"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</row>
    <row r="145" spans="11:31" ht="15"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</row>
    <row r="146" spans="11:31" ht="15"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</row>
    <row r="147" spans="11:31" ht="15"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</row>
    <row r="148" spans="11:31" ht="15"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</row>
    <row r="149" spans="11:31" ht="15"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</row>
    <row r="150" spans="11:31" ht="15"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</row>
    <row r="151" spans="11:31" ht="15"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</row>
    <row r="152" spans="11:31" ht="15"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</row>
    <row r="153" spans="11:31" ht="15"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</row>
    <row r="154" spans="11:31" ht="15"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</row>
    <row r="155" spans="11:31" ht="15"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</row>
    <row r="156" spans="11:31" ht="15"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</row>
    <row r="157" spans="11:31" ht="15"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</row>
    <row r="158" spans="11:31" ht="15"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</row>
    <row r="159" spans="11:31" ht="15"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</row>
    <row r="160" spans="11:31" ht="15"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</row>
    <row r="161" spans="11:31" ht="15"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</row>
    <row r="162" spans="11:31" ht="15"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</row>
    <row r="163" spans="11:31" ht="15"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</row>
    <row r="164" spans="11:31" ht="15"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</row>
    <row r="165" spans="11:31" ht="15"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</row>
    <row r="166" spans="11:31" ht="15"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</row>
    <row r="167" spans="11:31" ht="15"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</row>
    <row r="168" spans="11:31" ht="15"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</row>
    <row r="169" spans="11:31" ht="15"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</row>
    <row r="170" spans="11:31" ht="15"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</row>
    <row r="171" spans="11:31" ht="15"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</row>
    <row r="172" spans="11:31" ht="15"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</row>
    <row r="173" spans="11:31" ht="15"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</row>
    <row r="174" spans="11:31" ht="15"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</row>
    <row r="175" spans="11:31" ht="15"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</row>
    <row r="176" spans="11:31" ht="15"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</row>
    <row r="177" spans="11:31" ht="15"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</row>
    <row r="178" spans="11:31" ht="15"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</row>
    <row r="179" spans="11:31" ht="15"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</row>
    <row r="180" spans="11:31" ht="15"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</row>
    <row r="181" spans="11:31" ht="15"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</row>
    <row r="182" spans="11:31" ht="15"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</row>
    <row r="183" spans="11:31" ht="15"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</row>
    <row r="184" spans="11:31" ht="15"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</row>
    <row r="185" spans="11:31" ht="15"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</row>
    <row r="186" spans="11:31" ht="15"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</row>
    <row r="187" spans="11:31" ht="15"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</row>
    <row r="188" spans="11:31" ht="15"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</row>
    <row r="189" spans="11:31" ht="15"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</row>
    <row r="190" spans="11:31" ht="15"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</row>
    <row r="191" spans="11:31" ht="15"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</row>
    <row r="192" spans="11:31" ht="15"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</row>
    <row r="193" spans="11:31" ht="15"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</row>
    <row r="194" spans="11:31" ht="15"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</row>
    <row r="195" spans="11:31" ht="15"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</row>
    <row r="196" spans="11:31" ht="15"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</row>
    <row r="197" spans="11:31" ht="15"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</row>
    <row r="198" spans="11:31" ht="15"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</row>
    <row r="199" spans="11:31" ht="15"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</row>
    <row r="200" spans="11:31" ht="15"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</row>
    <row r="201" spans="11:31" ht="15"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</row>
    <row r="202" spans="11:31" ht="15"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</row>
    <row r="203" spans="11:31" ht="15"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</row>
    <row r="204" spans="11:31" ht="15"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</row>
    <row r="205" spans="11:31" ht="15"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</row>
    <row r="206" spans="11:31" ht="15"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</row>
    <row r="207" spans="11:31" ht="15"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</row>
    <row r="208" spans="11:31" ht="15"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</row>
    <row r="209" spans="11:31" ht="15"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</row>
    <row r="210" spans="11:31" ht="15"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</row>
    <row r="211" spans="11:31" ht="15"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</row>
    <row r="212" spans="11:31" ht="15"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</row>
    <row r="213" spans="11:31" ht="15"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</row>
    <row r="214" spans="11:31" ht="15"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</row>
    <row r="215" spans="11:31" ht="15"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</row>
    <row r="216" spans="11:31" ht="15"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</row>
    <row r="217" spans="11:31" ht="15"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</row>
    <row r="218" spans="11:31" ht="15"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</row>
    <row r="219" spans="11:31" ht="15"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</row>
    <row r="220" spans="11:31" ht="15"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</row>
    <row r="221" spans="11:31" ht="15"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</row>
    <row r="222" spans="11:31" ht="15"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</row>
    <row r="223" spans="11:31" ht="15"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</row>
    <row r="224" spans="11:31" ht="15"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</row>
    <row r="225" spans="11:31" ht="15"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</row>
    <row r="226" spans="11:31" ht="15"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</row>
    <row r="227" spans="11:31" ht="15"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</row>
    <row r="228" spans="11:31" ht="15"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</row>
    <row r="229" spans="11:31" ht="15"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</row>
    <row r="230" spans="11:31" ht="15"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</row>
    <row r="231" spans="11:31" ht="15"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</row>
    <row r="232" spans="11:31" ht="15"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</row>
    <row r="233" spans="11:31" ht="15"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</row>
    <row r="234" spans="11:31" ht="15"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</row>
    <row r="235" spans="11:31" ht="15"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</row>
    <row r="236" spans="11:31" ht="15"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</row>
    <row r="237" spans="11:31" ht="15"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</row>
    <row r="238" spans="11:31" ht="15"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</row>
    <row r="239" spans="11:31" ht="15"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</row>
    <row r="240" spans="11:31" ht="15"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</row>
    <row r="241" spans="11:31" ht="15"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</row>
    <row r="242" spans="11:31" ht="15"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</row>
    <row r="243" spans="11:31" ht="15"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</row>
    <row r="244" spans="11:31" ht="15"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</row>
    <row r="245" spans="11:31" ht="15"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</row>
    <row r="246" spans="11:31" ht="15"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</row>
    <row r="247" spans="11:31" ht="15"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</row>
    <row r="248" spans="11:31" ht="15"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</row>
    <row r="249" spans="11:31" ht="15"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</row>
    <row r="250" spans="11:31" ht="15"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</row>
    <row r="251" spans="11:31" ht="15"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</row>
    <row r="252" spans="11:31" ht="15"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</row>
    <row r="253" spans="11:31" ht="15"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</row>
    <row r="254" spans="11:31" ht="15"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</row>
    <row r="255" spans="11:31" ht="15"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</row>
    <row r="256" spans="11:31" ht="15"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</row>
    <row r="257" spans="11:31" ht="15"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</row>
    <row r="258" spans="11:31" ht="15"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</row>
    <row r="259" spans="11:31" ht="15"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</row>
    <row r="260" spans="11:31" ht="15"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</row>
    <row r="261" spans="11:31" ht="15"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</row>
    <row r="262" spans="11:31" ht="15"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</row>
    <row r="263" spans="11:31" ht="15"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</row>
    <row r="264" spans="11:31" ht="15"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</row>
    <row r="265" spans="11:31" ht="15"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</row>
    <row r="266" spans="11:31" ht="15"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</row>
    <row r="267" spans="11:31" ht="15"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</row>
    <row r="268" spans="11:31" ht="15"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</row>
    <row r="269" spans="11:31" ht="15"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</row>
    <row r="270" spans="11:31" ht="15"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</row>
    <row r="271" spans="11:31" ht="15"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</row>
    <row r="272" spans="11:31" ht="15"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</row>
    <row r="273" spans="11:31" ht="15"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</row>
    <row r="274" spans="11:31" ht="15"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</row>
    <row r="275" spans="11:31" ht="15"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</row>
    <row r="276" spans="11:31" ht="15"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</row>
    <row r="277" spans="11:31" ht="15"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</row>
    <row r="278" spans="11:31" ht="15"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</row>
    <row r="279" spans="11:31" ht="15"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</row>
    <row r="280" spans="11:31" ht="15"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</row>
    <row r="281" spans="11:31" ht="15"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</row>
    <row r="282" spans="11:31" ht="15"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</row>
    <row r="283" spans="11:31" ht="15"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</row>
    <row r="284" spans="11:31" ht="15"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</row>
    <row r="285" spans="11:31" ht="15"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</row>
    <row r="286" spans="11:31" ht="15"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</row>
    <row r="287" spans="11:31" ht="15"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</row>
    <row r="288" spans="11:31" ht="15"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</row>
    <row r="289" spans="11:31" ht="15"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</row>
    <row r="290" spans="11:31" ht="15"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</row>
    <row r="291" spans="11:31" ht="15"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</row>
    <row r="292" spans="11:31" ht="15"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</row>
    <row r="293" spans="11:31" ht="15"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</row>
    <row r="294" spans="11:31" ht="15"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</row>
    <row r="295" spans="11:31" ht="15"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</row>
    <row r="296" spans="11:31" ht="15"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</row>
    <row r="297" spans="11:31" ht="15"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</row>
    <row r="298" spans="11:31" ht="15"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</row>
    <row r="299" spans="11:31" ht="15"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</row>
    <row r="300" spans="11:31" ht="15"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</row>
    <row r="301" spans="11:31" ht="15"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</row>
    <row r="302" spans="11:31" ht="15"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</row>
    <row r="303" spans="11:31" ht="15"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</row>
    <row r="304" spans="11:31" ht="15"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</row>
    <row r="305" spans="11:31" ht="15"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</row>
    <row r="306" spans="11:31" ht="15"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</row>
    <row r="307" spans="11:31" ht="15"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</row>
    <row r="308" spans="11:31" ht="15"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</row>
    <row r="309" spans="11:31" ht="15"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</row>
    <row r="310" spans="11:31" ht="15"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</row>
    <row r="311" spans="11:31" ht="15"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</row>
    <row r="312" spans="11:31" ht="15"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</row>
    <row r="313" spans="11:31" ht="15"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</row>
    <row r="314" spans="11:31" ht="15"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</row>
    <row r="315" spans="11:31" ht="15"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</row>
    <row r="316" spans="11:31" ht="15"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</row>
    <row r="317" spans="11:31" ht="15"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</row>
    <row r="318" spans="11:31" ht="15"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</row>
    <row r="319" spans="11:31" ht="15"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</row>
    <row r="320" spans="11:31" ht="15"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</row>
    <row r="321" spans="11:31" ht="15"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</row>
    <row r="322" spans="11:31" ht="15"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</row>
    <row r="323" spans="11:31" ht="15"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</row>
    <row r="324" spans="11:31" ht="15"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</row>
    <row r="325" spans="11:31" ht="15"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</row>
    <row r="326" spans="11:31" ht="15"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</row>
    <row r="327" spans="11:31" ht="15"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</row>
    <row r="328" spans="11:31" ht="15"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</row>
    <row r="329" spans="11:31" ht="15"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</row>
    <row r="330" spans="11:31" ht="15"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</row>
    <row r="331" spans="11:31" ht="15"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</row>
    <row r="332" spans="11:31" ht="15"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</row>
    <row r="333" spans="11:31" ht="15"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</row>
    <row r="334" spans="11:31" ht="15"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</row>
    <row r="335" spans="11:31" ht="15"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</row>
    <row r="336" spans="11:31" ht="15"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</row>
    <row r="337" spans="11:31" ht="15"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</row>
    <row r="338" spans="11:31" ht="15"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</row>
    <row r="339" spans="11:31" ht="15"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</row>
    <row r="340" spans="11:31" ht="15"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</row>
    <row r="341" spans="11:31" ht="15"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</row>
    <row r="342" spans="11:31" ht="15"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</row>
    <row r="343" spans="11:31" ht="15"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</row>
    <row r="344" spans="11:31" ht="15"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</row>
    <row r="345" spans="11:31" ht="15"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</row>
    <row r="346" spans="11:31" ht="15"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</row>
    <row r="347" spans="11:31" ht="15"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</row>
    <row r="348" spans="11:31" ht="15"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</row>
    <row r="349" spans="11:31" ht="15"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</row>
    <row r="350" spans="11:31" ht="15"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</row>
    <row r="351" spans="11:31" ht="15"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</row>
    <row r="352" spans="11:31" ht="15"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</row>
    <row r="353" spans="11:31" ht="15"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</row>
    <row r="354" spans="11:31" ht="15"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</row>
    <row r="355" spans="11:31" ht="15"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</row>
    <row r="356" spans="11:31" ht="15"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</row>
    <row r="357" spans="11:31" ht="15"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</row>
    <row r="358" spans="11:31" ht="15"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</row>
    <row r="359" spans="11:31" ht="15"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</row>
    <row r="360" spans="11:31" ht="15"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</row>
    <row r="361" spans="11:31" ht="15"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</row>
    <row r="362" spans="11:31" ht="15"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</row>
    <row r="363" spans="11:31" ht="15"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</row>
    <row r="364" spans="11:31" ht="15"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</row>
    <row r="365" spans="11:31" ht="15"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</row>
    <row r="366" spans="11:31" ht="15"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</row>
    <row r="367" spans="11:31" ht="15"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</row>
    <row r="368" spans="11:31" ht="15"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</row>
    <row r="369" spans="11:31" ht="15"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</row>
    <row r="370" spans="11:31" ht="15"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</row>
    <row r="371" spans="11:31" ht="15"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</row>
    <row r="372" spans="11:31" ht="15"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</row>
    <row r="373" spans="11:31" ht="15"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</row>
    <row r="374" spans="11:31" ht="15"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</row>
    <row r="375" spans="11:31" ht="15"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</row>
    <row r="376" spans="11:31" ht="15"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</row>
    <row r="377" spans="11:31" ht="15"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</row>
    <row r="378" spans="11:31" ht="15"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</row>
    <row r="379" spans="11:31" ht="15"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</row>
    <row r="380" spans="11:31" ht="15"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</row>
    <row r="381" spans="11:31" ht="15"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</row>
    <row r="382" spans="11:31" ht="15"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</row>
    <row r="383" spans="11:31" ht="15"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</row>
    <row r="384" spans="11:31" ht="15"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</row>
    <row r="385" spans="11:31" ht="15"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</row>
    <row r="386" spans="11:31" ht="15"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</row>
    <row r="387" spans="11:31" ht="15"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</row>
    <row r="388" spans="11:31" ht="15"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</row>
    <row r="389" spans="11:31" ht="15"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</row>
    <row r="390" spans="11:31" ht="15"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</row>
    <row r="391" spans="11:31" ht="15"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</row>
    <row r="392" spans="11:31" ht="15"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</row>
    <row r="393" spans="11:31" ht="15"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</row>
    <row r="394" spans="15:31" ht="15"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</row>
    <row r="395" spans="15:31" ht="15"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</row>
    <row r="396" spans="15:31" ht="15"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</row>
    <row r="397" spans="15:31" ht="15"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</row>
    <row r="398" spans="15:31" ht="15"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</row>
    <row r="399" spans="15:31" ht="15"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</row>
    <row r="400" spans="15:31" ht="15"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</row>
    <row r="401" spans="15:31" ht="15"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</row>
    <row r="402" spans="15:31" ht="15"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</row>
    <row r="403" spans="15:31" ht="15"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</row>
    <row r="404" spans="15:31" ht="15"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</row>
    <row r="405" spans="15:31" ht="15"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</row>
    <row r="406" spans="15:31" ht="15"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</row>
    <row r="407" spans="15:31" ht="15"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</row>
  </sheetData>
  <sheetProtection/>
  <dataValidations count="3">
    <dataValidation type="list" allowBlank="1" showInputMessage="1" showErrorMessage="1" sqref="D5">
      <formula1>$P$2:$P$3</formula1>
    </dataValidation>
    <dataValidation type="list" allowBlank="1" showInputMessage="1" showErrorMessage="1" sqref="D6">
      <formula1>$P$5:$P$6</formula1>
    </dataValidation>
    <dataValidation type="list" allowBlank="1" showInputMessage="1" showErrorMessage="1" sqref="D2:D3">
      <formula1>$AA$2:$AA$3</formula1>
    </dataValidation>
  </dataValidations>
  <printOptions/>
  <pageMargins left="0.75" right="0.75" top="1" bottom="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6"/>
  <sheetViews>
    <sheetView zoomScalePageLayoutView="0" workbookViewId="0" topLeftCell="A35">
      <selection activeCell="D43" sqref="D43"/>
    </sheetView>
  </sheetViews>
  <sheetFormatPr defaultColWidth="9.00390625" defaultRowHeight="15"/>
  <cols>
    <col min="1" max="1" width="4.00390625" style="0" customWidth="1"/>
    <col min="2" max="2" width="6.00390625" style="0" customWidth="1"/>
    <col min="3" max="3" width="27.8515625" style="0" customWidth="1"/>
    <col min="4" max="4" width="10.00390625" style="0" customWidth="1"/>
    <col min="5" max="5" width="11.57421875" style="0" bestFit="1" customWidth="1"/>
    <col min="6" max="6" width="9.8515625" style="0" bestFit="1" customWidth="1"/>
  </cols>
  <sheetData>
    <row r="1" spans="2:21" ht="15">
      <c r="B1" s="1" t="s">
        <v>99</v>
      </c>
      <c r="D1" s="1" t="s">
        <v>70</v>
      </c>
      <c r="F1" s="1" t="s">
        <v>131</v>
      </c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2:21" ht="15">
      <c r="B2" s="1"/>
      <c r="D2" t="s">
        <v>45</v>
      </c>
      <c r="E2" t="s">
        <v>46</v>
      </c>
      <c r="F2" t="s">
        <v>47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ht="15">
      <c r="A3" s="20" t="s">
        <v>23</v>
      </c>
      <c r="B3" s="20" t="s">
        <v>71</v>
      </c>
      <c r="C3" s="19"/>
      <c r="D3" s="80">
        <f>SUM(D4:D7)</f>
        <v>9493.333333333334</v>
      </c>
      <c r="E3" s="80">
        <f>SUM(E4:E7)</f>
        <v>113920</v>
      </c>
      <c r="F3" s="22">
        <f aca="true" t="shared" si="0" ref="F3:F8">E3/$E$3</f>
        <v>1</v>
      </c>
      <c r="H3" s="28"/>
      <c r="I3" s="28"/>
      <c r="J3" s="28"/>
      <c r="K3" s="28"/>
      <c r="L3" s="28"/>
      <c r="M3" s="28"/>
      <c r="N3" s="28"/>
      <c r="O3" s="28"/>
      <c r="P3" s="76"/>
      <c r="Q3" s="28"/>
      <c r="R3" s="28"/>
      <c r="S3" s="28"/>
      <c r="T3" s="28"/>
      <c r="U3" s="28"/>
    </row>
    <row r="4" spans="2:21" ht="15">
      <c r="B4" s="12" t="s">
        <v>72</v>
      </c>
      <c r="C4" s="12" t="s">
        <v>86</v>
      </c>
      <c r="D4" s="81">
        <f>Франчайзи!D32*Общ!G7</f>
        <v>0</v>
      </c>
      <c r="E4" s="81">
        <f>D4*12</f>
        <v>0</v>
      </c>
      <c r="F4" s="22">
        <f>E4/$E$3</f>
        <v>0</v>
      </c>
      <c r="H4" s="28"/>
      <c r="I4" s="28"/>
      <c r="J4" s="28"/>
      <c r="K4" s="28"/>
      <c r="L4" s="31"/>
      <c r="M4" s="31"/>
      <c r="N4" s="47"/>
      <c r="O4" s="28"/>
      <c r="P4" s="28"/>
      <c r="Q4" s="28"/>
      <c r="R4" s="28"/>
      <c r="S4" s="28"/>
      <c r="T4" s="28"/>
      <c r="U4" s="28"/>
    </row>
    <row r="5" spans="2:21" ht="15">
      <c r="B5" s="12" t="s">
        <v>73</v>
      </c>
      <c r="C5" s="12" t="s">
        <v>87</v>
      </c>
      <c r="D5" s="81">
        <f>Франчайзи!D33*Общ!G7</f>
        <v>160</v>
      </c>
      <c r="E5" s="81">
        <f>D5*12</f>
        <v>1920</v>
      </c>
      <c r="F5" s="22">
        <f>E5/$E$3</f>
        <v>0.016853932584269662</v>
      </c>
      <c r="H5" s="28"/>
      <c r="I5" s="28"/>
      <c r="J5" s="28"/>
      <c r="K5" s="28"/>
      <c r="L5" s="31"/>
      <c r="M5" s="31"/>
      <c r="N5" s="47"/>
      <c r="O5" s="28"/>
      <c r="P5" s="28"/>
      <c r="Q5" s="28"/>
      <c r="R5" s="28"/>
      <c r="S5" s="28"/>
      <c r="T5" s="28"/>
      <c r="U5" s="28"/>
    </row>
    <row r="6" spans="2:21" ht="15">
      <c r="B6" s="12" t="s">
        <v>74</v>
      </c>
      <c r="C6" s="12" t="s">
        <v>133</v>
      </c>
      <c r="D6" s="81">
        <f>Общ!C4</f>
        <v>0</v>
      </c>
      <c r="E6" s="81">
        <f>Общ!C4*Общ!G7</f>
        <v>0</v>
      </c>
      <c r="F6" s="22"/>
      <c r="H6" s="28"/>
      <c r="I6" s="28"/>
      <c r="J6" s="28"/>
      <c r="K6" s="28"/>
      <c r="L6" s="31"/>
      <c r="M6" s="31"/>
      <c r="N6" s="47"/>
      <c r="O6" s="28"/>
      <c r="P6" s="28"/>
      <c r="Q6" s="28"/>
      <c r="R6" s="28"/>
      <c r="S6" s="28"/>
      <c r="T6" s="28"/>
      <c r="U6" s="28"/>
    </row>
    <row r="7" spans="2:21" ht="15">
      <c r="B7" s="12" t="s">
        <v>125</v>
      </c>
      <c r="C7" s="32" t="s">
        <v>167</v>
      </c>
      <c r="D7" s="85">
        <f>Франчайзи!D8*Общ!G7</f>
        <v>9333.333333333334</v>
      </c>
      <c r="E7" s="81">
        <f>D7*12</f>
        <v>112000</v>
      </c>
      <c r="F7" s="22">
        <f t="shared" si="0"/>
        <v>0.9831460674157303</v>
      </c>
      <c r="G7" s="8"/>
      <c r="H7" s="28"/>
      <c r="I7" s="28"/>
      <c r="J7" s="28"/>
      <c r="K7" s="28"/>
      <c r="L7" s="31"/>
      <c r="M7" s="92"/>
      <c r="N7" s="47"/>
      <c r="O7" s="28"/>
      <c r="P7" s="76"/>
      <c r="Q7" s="28"/>
      <c r="R7" s="28"/>
      <c r="S7" s="28"/>
      <c r="T7" s="28"/>
      <c r="U7" s="28"/>
    </row>
    <row r="8" spans="1:21" ht="15">
      <c r="A8" s="1" t="s">
        <v>24</v>
      </c>
      <c r="B8" s="1" t="s">
        <v>14</v>
      </c>
      <c r="D8" s="82">
        <f>D9+D11</f>
        <v>7561.6</v>
      </c>
      <c r="E8" s="82">
        <f>E9+E11</f>
        <v>90739.2</v>
      </c>
      <c r="F8" s="22">
        <f t="shared" si="0"/>
        <v>0.7965168539325842</v>
      </c>
      <c r="H8" s="28"/>
      <c r="I8" s="28"/>
      <c r="J8" s="28"/>
      <c r="K8" s="28"/>
      <c r="L8" s="28"/>
      <c r="M8" s="28"/>
      <c r="N8" s="28"/>
      <c r="O8" s="28"/>
      <c r="P8" s="28"/>
      <c r="Q8" s="31"/>
      <c r="R8" s="31"/>
      <c r="S8" s="28"/>
      <c r="T8" s="28"/>
      <c r="U8" s="28"/>
    </row>
    <row r="9" spans="1:21" ht="15">
      <c r="A9" t="s">
        <v>25</v>
      </c>
      <c r="B9" s="13" t="s">
        <v>17</v>
      </c>
      <c r="C9" s="13"/>
      <c r="D9" s="98">
        <f>D7/(1+J9)</f>
        <v>7466.666666666667</v>
      </c>
      <c r="E9" s="98">
        <f>D9*12</f>
        <v>89600</v>
      </c>
      <c r="F9" s="18">
        <f>D9/D3</f>
        <v>0.7865168539325843</v>
      </c>
      <c r="H9" t="s">
        <v>140</v>
      </c>
      <c r="J9" s="42">
        <v>0.25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1" ht="15">
      <c r="A10" s="21" t="s">
        <v>12</v>
      </c>
      <c r="B10" s="19"/>
      <c r="C10" s="19"/>
      <c r="D10" s="84">
        <f>D3-D9</f>
        <v>2026.666666666667</v>
      </c>
      <c r="E10" s="84">
        <f>E3-E9</f>
        <v>24320</v>
      </c>
      <c r="F10" s="16">
        <f>D10/$D$3</f>
        <v>0.21348314606741575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10" ht="15">
      <c r="A11" t="s">
        <v>26</v>
      </c>
      <c r="B11" s="57" t="s">
        <v>101</v>
      </c>
      <c r="D11" s="83">
        <f>D3*J11</f>
        <v>94.93333333333334</v>
      </c>
      <c r="E11" s="83">
        <f>E3*J11</f>
        <v>1139.2</v>
      </c>
      <c r="F11" s="8"/>
      <c r="H11" t="s">
        <v>84</v>
      </c>
      <c r="J11" s="42">
        <v>0.01</v>
      </c>
    </row>
    <row r="12" spans="1:7" ht="15">
      <c r="A12" s="21" t="s">
        <v>13</v>
      </c>
      <c r="B12" s="19"/>
      <c r="C12" s="19"/>
      <c r="D12" s="84">
        <f>D10-D11</f>
        <v>1931.7333333333336</v>
      </c>
      <c r="E12" s="84">
        <f>E10-E11</f>
        <v>23180.8</v>
      </c>
      <c r="F12" s="16">
        <f>D12/$D$3</f>
        <v>0.20348314606741574</v>
      </c>
      <c r="G12" s="8"/>
    </row>
    <row r="13" spans="1:5" ht="15">
      <c r="A13" s="1" t="s">
        <v>27</v>
      </c>
      <c r="B13" s="1" t="s">
        <v>18</v>
      </c>
      <c r="D13" s="82">
        <f>D14+D18+D24+D29</f>
        <v>115.16</v>
      </c>
      <c r="E13" s="82">
        <f>E14+E18+E24+E29</f>
        <v>1381.92</v>
      </c>
    </row>
    <row r="14" spans="1:5" ht="15">
      <c r="A14" t="s">
        <v>28</v>
      </c>
      <c r="B14" s="57" t="s">
        <v>160</v>
      </c>
      <c r="D14" s="83">
        <f>SUM(D15:D17)</f>
        <v>104.16</v>
      </c>
      <c r="E14" s="83">
        <f>SUM(E15:E17)</f>
        <v>1249.92</v>
      </c>
    </row>
    <row r="15" spans="2:11" ht="15">
      <c r="B15" s="12" t="s">
        <v>32</v>
      </c>
      <c r="C15" s="12" t="s">
        <v>168</v>
      </c>
      <c r="D15" s="81">
        <f>I15*K15</f>
        <v>45</v>
      </c>
      <c r="E15" s="81">
        <f>D15*12</f>
        <v>540</v>
      </c>
      <c r="H15" t="s">
        <v>75</v>
      </c>
      <c r="I15" s="23">
        <v>1</v>
      </c>
      <c r="J15" t="s">
        <v>137</v>
      </c>
      <c r="K15" s="39">
        <v>45</v>
      </c>
    </row>
    <row r="16" spans="2:11" ht="15">
      <c r="B16" s="12"/>
      <c r="C16" s="12" t="s">
        <v>180</v>
      </c>
      <c r="D16" s="81">
        <f>I16*K16</f>
        <v>35</v>
      </c>
      <c r="E16" s="81">
        <f>D16*12</f>
        <v>420</v>
      </c>
      <c r="H16" t="s">
        <v>75</v>
      </c>
      <c r="I16" s="23">
        <v>1</v>
      </c>
      <c r="J16" t="s">
        <v>137</v>
      </c>
      <c r="K16" s="39">
        <v>35</v>
      </c>
    </row>
    <row r="17" spans="2:9" ht="15">
      <c r="B17" s="12" t="s">
        <v>33</v>
      </c>
      <c r="C17" s="12" t="s">
        <v>16</v>
      </c>
      <c r="D17" s="81">
        <f>SUM(D15:D16)*I17*F17</f>
        <v>24.16</v>
      </c>
      <c r="E17" s="81">
        <f>D17*12</f>
        <v>289.92</v>
      </c>
      <c r="F17" s="91">
        <v>1</v>
      </c>
      <c r="H17" t="s">
        <v>76</v>
      </c>
      <c r="I17" s="25">
        <v>0.302</v>
      </c>
    </row>
    <row r="18" spans="1:6" ht="15">
      <c r="A18" t="s">
        <v>29</v>
      </c>
      <c r="B18" s="13" t="s">
        <v>19</v>
      </c>
      <c r="D18" s="83">
        <f>SUM(D19:D23)</f>
        <v>1</v>
      </c>
      <c r="E18" s="83">
        <f>SUM(E19:E23)</f>
        <v>12</v>
      </c>
      <c r="F18" s="9"/>
    </row>
    <row r="19" spans="2:11" ht="15">
      <c r="B19" s="12" t="s">
        <v>34</v>
      </c>
      <c r="C19" s="12" t="s">
        <v>11</v>
      </c>
      <c r="D19" s="81">
        <f>I19*K19</f>
        <v>0</v>
      </c>
      <c r="E19" s="81">
        <f>D19*12</f>
        <v>0</v>
      </c>
      <c r="H19" t="s">
        <v>95</v>
      </c>
      <c r="I19" s="23">
        <v>0</v>
      </c>
      <c r="J19" t="s">
        <v>76</v>
      </c>
      <c r="K19" s="23">
        <v>1</v>
      </c>
    </row>
    <row r="20" spans="2:9" ht="15">
      <c r="B20" s="12" t="s">
        <v>35</v>
      </c>
      <c r="C20" s="12" t="s">
        <v>20</v>
      </c>
      <c r="D20" s="81">
        <v>0</v>
      </c>
      <c r="E20" s="81">
        <f>D20*12</f>
        <v>0</v>
      </c>
      <c r="H20" s="12"/>
      <c r="I20" s="17"/>
    </row>
    <row r="21" spans="2:9" ht="15">
      <c r="B21" s="12" t="s">
        <v>36</v>
      </c>
      <c r="C21" s="12" t="s">
        <v>21</v>
      </c>
      <c r="D21" s="81">
        <v>0</v>
      </c>
      <c r="E21" s="81">
        <f>D21*12</f>
        <v>0</v>
      </c>
      <c r="H21" s="12"/>
      <c r="I21" s="17"/>
    </row>
    <row r="22" spans="2:9" ht="15">
      <c r="B22" s="12" t="s">
        <v>38</v>
      </c>
      <c r="C22" s="12" t="s">
        <v>22</v>
      </c>
      <c r="D22" s="81">
        <v>0</v>
      </c>
      <c r="E22" s="81">
        <f>D22*12</f>
        <v>0</v>
      </c>
      <c r="H22" s="12"/>
      <c r="I22" s="17"/>
    </row>
    <row r="23" spans="2:9" ht="15">
      <c r="B23" s="12" t="s">
        <v>43</v>
      </c>
      <c r="C23" s="12" t="s">
        <v>44</v>
      </c>
      <c r="D23" s="81">
        <v>1</v>
      </c>
      <c r="E23" s="81">
        <f>D23*12</f>
        <v>12</v>
      </c>
      <c r="H23" s="12"/>
      <c r="I23" s="17"/>
    </row>
    <row r="24" spans="1:5" ht="15">
      <c r="A24" t="s">
        <v>30</v>
      </c>
      <c r="B24" s="13" t="s">
        <v>31</v>
      </c>
      <c r="D24" s="83">
        <f>SUM(D25:D28)</f>
        <v>10</v>
      </c>
      <c r="E24" s="83">
        <f>SUM(E25:E28)</f>
        <v>120</v>
      </c>
    </row>
    <row r="25" spans="2:9" ht="15">
      <c r="B25" s="12" t="s">
        <v>40</v>
      </c>
      <c r="C25" s="12" t="s">
        <v>48</v>
      </c>
      <c r="D25" s="81">
        <v>5</v>
      </c>
      <c r="E25" s="81">
        <f aca="true" t="shared" si="1" ref="E25:E32">D25*12</f>
        <v>60</v>
      </c>
      <c r="H25" s="12"/>
      <c r="I25" s="17"/>
    </row>
    <row r="26" spans="2:9" ht="15">
      <c r="B26" s="12" t="s">
        <v>41</v>
      </c>
      <c r="C26" s="12" t="s">
        <v>49</v>
      </c>
      <c r="D26" s="81">
        <v>3</v>
      </c>
      <c r="E26" s="81">
        <f t="shared" si="1"/>
        <v>36</v>
      </c>
      <c r="H26" s="12"/>
      <c r="I26" s="17"/>
    </row>
    <row r="27" spans="2:9" ht="15">
      <c r="B27" s="12" t="s">
        <v>42</v>
      </c>
      <c r="C27" s="12" t="s">
        <v>39</v>
      </c>
      <c r="D27" s="81">
        <v>2</v>
      </c>
      <c r="E27" s="81">
        <f t="shared" si="1"/>
        <v>24</v>
      </c>
      <c r="H27" s="12"/>
      <c r="I27" s="17"/>
    </row>
    <row r="28" spans="2:9" ht="15">
      <c r="B28" s="32" t="s">
        <v>37</v>
      </c>
      <c r="C28" s="32" t="s">
        <v>102</v>
      </c>
      <c r="D28" s="85">
        <v>0</v>
      </c>
      <c r="E28" s="85">
        <f t="shared" si="1"/>
        <v>0</v>
      </c>
      <c r="H28" s="32"/>
      <c r="I28" s="33"/>
    </row>
    <row r="29" spans="1:5" ht="15">
      <c r="A29" s="13" t="s">
        <v>52</v>
      </c>
      <c r="B29" s="34" t="s">
        <v>50</v>
      </c>
      <c r="C29" s="28"/>
      <c r="D29" s="74">
        <f>SUM(D30:D32)</f>
        <v>0</v>
      </c>
      <c r="E29" s="74">
        <f t="shared" si="1"/>
        <v>0</v>
      </c>
    </row>
    <row r="30" spans="1:5" ht="15">
      <c r="A30" s="13"/>
      <c r="B30" s="32" t="s">
        <v>161</v>
      </c>
      <c r="C30" s="32" t="s">
        <v>162</v>
      </c>
      <c r="D30" s="101">
        <v>0</v>
      </c>
      <c r="E30" s="101">
        <f t="shared" si="1"/>
        <v>0</v>
      </c>
    </row>
    <row r="31" spans="1:5" ht="15">
      <c r="A31" s="13"/>
      <c r="B31" s="32" t="s">
        <v>163</v>
      </c>
      <c r="C31" s="32" t="s">
        <v>164</v>
      </c>
      <c r="D31" s="101">
        <v>0</v>
      </c>
      <c r="E31" s="101">
        <f t="shared" si="1"/>
        <v>0</v>
      </c>
    </row>
    <row r="32" spans="1:5" ht="15">
      <c r="A32" s="13"/>
      <c r="B32" s="32" t="s">
        <v>165</v>
      </c>
      <c r="C32" s="32" t="s">
        <v>166</v>
      </c>
      <c r="D32" s="101">
        <v>0</v>
      </c>
      <c r="E32" s="101">
        <f t="shared" si="1"/>
        <v>0</v>
      </c>
    </row>
    <row r="33" spans="1:5" ht="15">
      <c r="A33" s="1" t="s">
        <v>53</v>
      </c>
      <c r="B33" s="1" t="s">
        <v>51</v>
      </c>
      <c r="C33" s="1"/>
      <c r="D33" s="82">
        <f>SUM(D34:D35)</f>
        <v>160</v>
      </c>
      <c r="E33" s="82">
        <f>SUM(E34:E35)</f>
        <v>1920</v>
      </c>
    </row>
    <row r="34" spans="2:11" ht="15">
      <c r="B34" s="12" t="s">
        <v>54</v>
      </c>
      <c r="C34" s="12" t="s">
        <v>10</v>
      </c>
      <c r="D34" s="81">
        <f>D5</f>
        <v>160</v>
      </c>
      <c r="E34" s="81">
        <f>D34*12</f>
        <v>1920</v>
      </c>
      <c r="K34" s="18"/>
    </row>
    <row r="35" spans="2:11" ht="15">
      <c r="B35" s="12" t="s">
        <v>55</v>
      </c>
      <c r="C35" s="12" t="s">
        <v>88</v>
      </c>
      <c r="D35" s="81">
        <v>0</v>
      </c>
      <c r="E35" s="81">
        <v>0</v>
      </c>
      <c r="K35" s="18"/>
    </row>
    <row r="36" spans="1:5" ht="15">
      <c r="A36" s="19" t="s">
        <v>56</v>
      </c>
      <c r="B36" s="19"/>
      <c r="C36" s="19"/>
      <c r="D36" s="84">
        <f>D12-D13-D33</f>
        <v>1656.5733333333335</v>
      </c>
      <c r="E36" s="84">
        <f>E12-E13-E33</f>
        <v>19878.879999999997</v>
      </c>
    </row>
    <row r="37" spans="1:20" ht="15">
      <c r="A37" t="s">
        <v>62</v>
      </c>
      <c r="B37" t="s">
        <v>57</v>
      </c>
      <c r="D37" s="83">
        <f>E37/12</f>
        <v>0</v>
      </c>
      <c r="E37" s="83">
        <f>J37/L37</f>
        <v>0</v>
      </c>
      <c r="H37" t="s">
        <v>79</v>
      </c>
      <c r="J37" s="26">
        <v>0</v>
      </c>
      <c r="K37" t="s">
        <v>127</v>
      </c>
      <c r="L37" s="41">
        <v>3</v>
      </c>
      <c r="M37" t="s">
        <v>128</v>
      </c>
      <c r="O37" s="28"/>
      <c r="P37" s="28"/>
      <c r="Q37" s="28"/>
      <c r="R37" s="28"/>
      <c r="S37" s="28"/>
      <c r="T37" s="28"/>
    </row>
    <row r="38" spans="1:20" ht="15">
      <c r="A38" s="20" t="s">
        <v>63</v>
      </c>
      <c r="B38" s="20" t="s">
        <v>64</v>
      </c>
      <c r="C38" s="19"/>
      <c r="D38" s="80">
        <f>D36-D37</f>
        <v>1656.5733333333335</v>
      </c>
      <c r="E38" s="80">
        <f>E36-E37</f>
        <v>19878.879999999997</v>
      </c>
      <c r="O38" s="28"/>
      <c r="P38" s="28"/>
      <c r="Q38" s="28"/>
      <c r="R38" s="28"/>
      <c r="S38" s="28"/>
      <c r="T38" s="28"/>
    </row>
    <row r="39" spans="1:20" ht="15">
      <c r="A39" t="s">
        <v>65</v>
      </c>
      <c r="B39" t="s">
        <v>58</v>
      </c>
      <c r="D39" s="83">
        <v>0</v>
      </c>
      <c r="E39" s="83">
        <v>0</v>
      </c>
      <c r="O39" s="28"/>
      <c r="P39" s="28"/>
      <c r="Q39" s="28"/>
      <c r="R39" s="28"/>
      <c r="S39" s="28"/>
      <c r="T39" s="28"/>
    </row>
    <row r="40" spans="1:20" ht="15">
      <c r="A40" t="s">
        <v>66</v>
      </c>
      <c r="B40" t="s">
        <v>59</v>
      </c>
      <c r="D40" s="83">
        <f>D38-D39</f>
        <v>1656.5733333333335</v>
      </c>
      <c r="E40" s="83">
        <f>D40*12</f>
        <v>19878.88</v>
      </c>
      <c r="O40" s="28"/>
      <c r="P40" s="28"/>
      <c r="Q40" s="28"/>
      <c r="R40" s="28"/>
      <c r="S40" s="28"/>
      <c r="T40" s="28"/>
    </row>
    <row r="41" spans="1:20" ht="15">
      <c r="A41" s="14" t="s">
        <v>67</v>
      </c>
      <c r="B41" t="s">
        <v>60</v>
      </c>
      <c r="D41" s="83">
        <f>SUM(D42:D42)</f>
        <v>248.48600000000002</v>
      </c>
      <c r="E41" s="83">
        <f>D41*12</f>
        <v>2981.8320000000003</v>
      </c>
      <c r="O41" s="28"/>
      <c r="P41" s="28"/>
      <c r="Q41" s="28"/>
      <c r="R41" s="28"/>
      <c r="S41" s="28"/>
      <c r="T41" s="28"/>
    </row>
    <row r="42" spans="2:20" ht="15">
      <c r="B42" s="15" t="s">
        <v>68</v>
      </c>
      <c r="C42" s="12" t="s">
        <v>136</v>
      </c>
      <c r="D42" s="81">
        <f>MAX(D40*K42,1%*D3)</f>
        <v>248.48600000000002</v>
      </c>
      <c r="E42" s="103">
        <f>D42*12</f>
        <v>2981.8320000000003</v>
      </c>
      <c r="H42" t="s">
        <v>81</v>
      </c>
      <c r="K42" s="24">
        <v>0.15</v>
      </c>
      <c r="L42" t="s">
        <v>85</v>
      </c>
      <c r="O42" s="28"/>
      <c r="P42" s="28"/>
      <c r="Q42" s="28"/>
      <c r="R42" s="28"/>
      <c r="S42" s="28"/>
      <c r="T42" s="28"/>
    </row>
    <row r="43" spans="1:6" ht="15">
      <c r="A43" s="29" t="s">
        <v>69</v>
      </c>
      <c r="B43" s="20" t="s">
        <v>61</v>
      </c>
      <c r="C43" s="19"/>
      <c r="D43" s="80">
        <f>D40-D41</f>
        <v>1408.0873333333334</v>
      </c>
      <c r="E43" s="80">
        <f>E40-E41</f>
        <v>16897.048000000003</v>
      </c>
      <c r="F43" s="27">
        <f>D43/D3</f>
        <v>0.14832380617977528</v>
      </c>
    </row>
    <row r="45" spans="4:6" ht="15">
      <c r="D45" s="31"/>
      <c r="E45" s="31"/>
      <c r="F45" s="22"/>
    </row>
    <row r="46" spans="3:18" ht="15">
      <c r="C46" t="s">
        <v>142</v>
      </c>
      <c r="D46" s="26">
        <v>0</v>
      </c>
      <c r="E46" s="26">
        <v>0</v>
      </c>
      <c r="F46" s="26">
        <v>1</v>
      </c>
      <c r="G46" s="26">
        <v>1</v>
      </c>
      <c r="H46" s="26">
        <v>1</v>
      </c>
      <c r="I46" s="26">
        <v>2</v>
      </c>
      <c r="J46" s="26">
        <v>2</v>
      </c>
      <c r="K46" s="26">
        <v>2</v>
      </c>
      <c r="L46" s="26">
        <v>3</v>
      </c>
      <c r="M46" s="26">
        <v>3</v>
      </c>
      <c r="N46" s="26">
        <v>3</v>
      </c>
      <c r="O46" s="26">
        <v>4</v>
      </c>
      <c r="P46" s="93">
        <f>O46</f>
        <v>4</v>
      </c>
      <c r="Q46" s="43">
        <v>8</v>
      </c>
      <c r="R46" s="43">
        <v>12</v>
      </c>
    </row>
    <row r="47" spans="1:18" ht="15">
      <c r="A47" s="60"/>
      <c r="B47" s="60"/>
      <c r="C47" s="61" t="s">
        <v>139</v>
      </c>
      <c r="D47" s="62">
        <v>1</v>
      </c>
      <c r="E47" s="62">
        <v>2</v>
      </c>
      <c r="F47" s="62">
        <v>3</v>
      </c>
      <c r="G47" s="62">
        <v>4</v>
      </c>
      <c r="H47" s="62">
        <v>5</v>
      </c>
      <c r="I47" s="62">
        <v>6</v>
      </c>
      <c r="J47" s="62">
        <v>7</v>
      </c>
      <c r="K47" s="62">
        <v>8</v>
      </c>
      <c r="L47" s="62">
        <v>9</v>
      </c>
      <c r="M47" s="62">
        <v>10</v>
      </c>
      <c r="N47" s="62">
        <v>11</v>
      </c>
      <c r="O47" s="63">
        <v>12</v>
      </c>
      <c r="P47" s="64" t="s">
        <v>110</v>
      </c>
      <c r="Q47" s="64" t="s">
        <v>111</v>
      </c>
      <c r="R47" s="64" t="s">
        <v>112</v>
      </c>
    </row>
    <row r="48" spans="3:18" ht="15">
      <c r="C48" s="7" t="s">
        <v>2</v>
      </c>
      <c r="D48" s="8">
        <f>Общ!$C$2*Франчайзер!D46</f>
        <v>0</v>
      </c>
      <c r="E48" s="8">
        <f>Общ!$C$2*Франчайзер!E46</f>
        <v>0</v>
      </c>
      <c r="F48" s="8">
        <f>Общ!$C$2*Франчайзер!F46</f>
        <v>0</v>
      </c>
      <c r="G48" s="8">
        <f>Общ!$C$2*Франчайзер!G46</f>
        <v>0</v>
      </c>
      <c r="H48" s="8">
        <f>Общ!$C$2*Франчайзер!H46</f>
        <v>0</v>
      </c>
      <c r="I48" s="8">
        <f>Общ!$C$2*Франчайзер!I46</f>
        <v>0</v>
      </c>
      <c r="J48" s="8">
        <f>Общ!$C$2*Франчайзер!J46</f>
        <v>0</v>
      </c>
      <c r="K48" s="8">
        <f>Общ!$C$2*Франчайзер!K46</f>
        <v>0</v>
      </c>
      <c r="L48" s="8">
        <f>Общ!$C$2*Франчайзер!L46</f>
        <v>0</v>
      </c>
      <c r="M48" s="8">
        <f>Общ!$C$2*Франчайзер!M46</f>
        <v>0</v>
      </c>
      <c r="N48" s="8">
        <f>Общ!$C$2*Франчайзер!N46</f>
        <v>0</v>
      </c>
      <c r="O48" s="10">
        <f>Общ!$C$2*Франчайзер!O46</f>
        <v>0</v>
      </c>
      <c r="P48" s="31">
        <f aca="true" t="shared" si="2" ref="P48:P55">SUM(D48:O48)</f>
        <v>0</v>
      </c>
      <c r="Q48" s="31">
        <f>O48/$O$46*$Q$46*12</f>
        <v>0</v>
      </c>
      <c r="R48" s="31">
        <f>O48/$O$46*$R$46*12</f>
        <v>0</v>
      </c>
    </row>
    <row r="49" spans="3:18" ht="15">
      <c r="C49" s="7" t="s">
        <v>143</v>
      </c>
      <c r="D49" s="8">
        <f>Франчайзи!$D$33*Франчайзер!D46</f>
        <v>0</v>
      </c>
      <c r="E49" s="8">
        <f>Франчайзи!$D$33*Франчайзер!E46</f>
        <v>0</v>
      </c>
      <c r="F49" s="8">
        <f>Франчайзи!$D$33*Франчайзер!F46</f>
        <v>40</v>
      </c>
      <c r="G49" s="8">
        <f>Франчайзи!$D$33*Франчайзер!G46</f>
        <v>40</v>
      </c>
      <c r="H49" s="8">
        <f>Франчайзи!$D$33*Франчайзер!H46</f>
        <v>40</v>
      </c>
      <c r="I49" s="8">
        <f>Франчайзи!$D$33*Франчайзер!I46</f>
        <v>80</v>
      </c>
      <c r="J49" s="8">
        <f>Франчайзи!$D$33*Франчайзер!J46</f>
        <v>80</v>
      </c>
      <c r="K49" s="8">
        <f>Франчайзи!$D$33*Франчайзер!K46</f>
        <v>80</v>
      </c>
      <c r="L49" s="8">
        <f>Франчайзи!$D$33*Франчайзер!L46</f>
        <v>120</v>
      </c>
      <c r="M49" s="8">
        <f>Франчайзи!$D$33*Франчайзер!M46</f>
        <v>120</v>
      </c>
      <c r="N49" s="8">
        <f>Франчайзи!$D$33*Франчайзер!N46</f>
        <v>120</v>
      </c>
      <c r="O49" s="8">
        <f>Франчайзи!$D$33*Франчайзер!O46</f>
        <v>160</v>
      </c>
      <c r="P49" s="31">
        <f t="shared" si="2"/>
        <v>880</v>
      </c>
      <c r="Q49" s="31">
        <f>O49/$O$46*$Q$46*12</f>
        <v>3840</v>
      </c>
      <c r="R49" s="31">
        <f>O49/$O$46*$R$46*12</f>
        <v>5760</v>
      </c>
    </row>
    <row r="50" spans="3:18" ht="15">
      <c r="C50" s="7" t="s">
        <v>144</v>
      </c>
      <c r="D50" s="8">
        <f>(Франчайзи!$D$11+Франчайзи!$D$12)*D46</f>
        <v>0</v>
      </c>
      <c r="E50" s="8">
        <f>(Франчайзи!$D$11+Франчайзи!$D$12)*E46</f>
        <v>0</v>
      </c>
      <c r="F50" s="8">
        <f>(Франчайзи!$D$11+Франчайзи!$D$12)*F46</f>
        <v>0</v>
      </c>
      <c r="G50" s="8">
        <f>(Франчайзи!$D$11+Франчайзи!$D$12)*G46</f>
        <v>0</v>
      </c>
      <c r="H50" s="8">
        <f>(Франчайзи!$D$11+Франчайзи!$D$12)*H46</f>
        <v>0</v>
      </c>
      <c r="I50" s="8">
        <f>(Франчайзи!$D$11+Франчайзи!$D$12)*I46</f>
        <v>0</v>
      </c>
      <c r="J50" s="8">
        <f>(Франчайзи!$D$11+Франчайзи!$D$12)*J46</f>
        <v>0</v>
      </c>
      <c r="K50" s="8">
        <f>(Франчайзи!$D$11+Франчайзи!$D$12)*K46</f>
        <v>0</v>
      </c>
      <c r="L50" s="8">
        <f>(Франчайзи!$D$11+Франчайзи!$D$12)*L46</f>
        <v>0</v>
      </c>
      <c r="M50" s="8">
        <f>(Франчайзи!$D$11+Франчайзи!$D$12)*M46</f>
        <v>0</v>
      </c>
      <c r="N50" s="8">
        <f>(Франчайзи!$D$11+Франчайзи!$D$12)*N46</f>
        <v>0</v>
      </c>
      <c r="O50" s="10">
        <f>(Франчайзи!$D$11+Франчайзи!$D$12)*O46</f>
        <v>0</v>
      </c>
      <c r="P50" s="31">
        <f t="shared" si="2"/>
        <v>0</v>
      </c>
      <c r="Q50" s="31">
        <f>O50/$O$46*$Q$46*12</f>
        <v>0</v>
      </c>
      <c r="R50" s="31">
        <f>O50/$O$46*$R$46*12</f>
        <v>0</v>
      </c>
    </row>
    <row r="51" spans="3:18" ht="15">
      <c r="C51" s="7" t="s">
        <v>133</v>
      </c>
      <c r="D51" s="8">
        <f>(D46-0)*Общ!$C$4</f>
        <v>0</v>
      </c>
      <c r="E51" s="8">
        <f>(E46-D46)*Общ!$C$4</f>
        <v>0</v>
      </c>
      <c r="F51" s="8">
        <f>(F46-E46)*Общ!$C$4</f>
        <v>0</v>
      </c>
      <c r="G51" s="8">
        <f>(G46-F46)*Общ!$C$4</f>
        <v>0</v>
      </c>
      <c r="H51" s="8">
        <f>(H46-G46)*Общ!$C$4</f>
        <v>0</v>
      </c>
      <c r="I51" s="8">
        <f>(I46-H46)*Общ!$C$4</f>
        <v>0</v>
      </c>
      <c r="J51" s="8">
        <f>(J46-I46)*Общ!$C$4</f>
        <v>0</v>
      </c>
      <c r="K51" s="8">
        <f>(K46-J46)*Общ!$C$4</f>
        <v>0</v>
      </c>
      <c r="L51" s="8">
        <f>(L46-K46)*Общ!$C$4</f>
        <v>0</v>
      </c>
      <c r="M51" s="8">
        <f>(M46-L46)*Общ!$C$4</f>
        <v>0</v>
      </c>
      <c r="N51" s="8">
        <f>(N46-M46)*Общ!$C$4</f>
        <v>0</v>
      </c>
      <c r="O51" s="10">
        <f>(O46-N46)*Общ!$C$4</f>
        <v>0</v>
      </c>
      <c r="P51" s="31">
        <f t="shared" si="2"/>
        <v>0</v>
      </c>
      <c r="Q51" s="31">
        <f>(Q46-P46)*Общ!$C$4</f>
        <v>0</v>
      </c>
      <c r="R51" s="31">
        <f>(R46-Q46)*Общ!$C$4</f>
        <v>0</v>
      </c>
    </row>
    <row r="52" spans="3:18" ht="15">
      <c r="C52" s="7" t="s">
        <v>114</v>
      </c>
      <c r="D52" s="8">
        <f aca="true" t="shared" si="3" ref="D52:O52">$D$13-$D$33</f>
        <v>-44.84</v>
      </c>
      <c r="E52" s="8">
        <f t="shared" si="3"/>
        <v>-44.84</v>
      </c>
      <c r="F52" s="8">
        <f t="shared" si="3"/>
        <v>-44.84</v>
      </c>
      <c r="G52" s="8">
        <f t="shared" si="3"/>
        <v>-44.84</v>
      </c>
      <c r="H52" s="8">
        <f t="shared" si="3"/>
        <v>-44.84</v>
      </c>
      <c r="I52" s="8">
        <f t="shared" si="3"/>
        <v>-44.84</v>
      </c>
      <c r="J52" s="8">
        <f t="shared" si="3"/>
        <v>-44.84</v>
      </c>
      <c r="K52" s="8">
        <f t="shared" si="3"/>
        <v>-44.84</v>
      </c>
      <c r="L52" s="8">
        <f t="shared" si="3"/>
        <v>-44.84</v>
      </c>
      <c r="M52" s="8">
        <f t="shared" si="3"/>
        <v>-44.84</v>
      </c>
      <c r="N52" s="8">
        <f t="shared" si="3"/>
        <v>-44.84</v>
      </c>
      <c r="O52" s="10">
        <f t="shared" si="3"/>
        <v>-44.84</v>
      </c>
      <c r="P52" s="31">
        <f t="shared" si="2"/>
        <v>-538.0800000000002</v>
      </c>
      <c r="Q52" s="31">
        <f>$O$52*12</f>
        <v>-538.08</v>
      </c>
      <c r="R52" s="31">
        <f>$O$52*12</f>
        <v>-538.08</v>
      </c>
    </row>
    <row r="53" spans="3:18" ht="15">
      <c r="C53" s="7" t="s">
        <v>115</v>
      </c>
      <c r="D53" s="8">
        <f>$D$8/Общ!$G$7*D46</f>
        <v>0</v>
      </c>
      <c r="E53" s="8">
        <f>$D$8/Общ!$G$7*E46</f>
        <v>0</v>
      </c>
      <c r="F53" s="8">
        <f>$D$8/Общ!$G$7*F46</f>
        <v>1890.4</v>
      </c>
      <c r="G53" s="8">
        <f>$D$8/Общ!$G$7*G46</f>
        <v>1890.4</v>
      </c>
      <c r="H53" s="8">
        <f>$D$8/Общ!$G$7*H46</f>
        <v>1890.4</v>
      </c>
      <c r="I53" s="8">
        <f>$D$8/Общ!$G$7*I46</f>
        <v>3780.8</v>
      </c>
      <c r="J53" s="8">
        <f>$D$8/Общ!$G$7*J46</f>
        <v>3780.8</v>
      </c>
      <c r="K53" s="8">
        <f>$D$8/Общ!$G$7*K46</f>
        <v>3780.8</v>
      </c>
      <c r="L53" s="8">
        <f>$D$8/Общ!$G$7*L46</f>
        <v>5671.200000000001</v>
      </c>
      <c r="M53" s="8">
        <f>$D$8/Общ!$G$7*M46</f>
        <v>5671.200000000001</v>
      </c>
      <c r="N53" s="8">
        <f>$D$8/Общ!$G$7*N46</f>
        <v>5671.200000000001</v>
      </c>
      <c r="O53" s="8">
        <f>$D$8/Общ!$G$7*O46</f>
        <v>7561.6</v>
      </c>
      <c r="P53" s="31">
        <f t="shared" si="2"/>
        <v>41588.799999999996</v>
      </c>
      <c r="Q53" s="31">
        <f>O53/$O$46*$Q$46*12</f>
        <v>181478.40000000002</v>
      </c>
      <c r="R53" s="31">
        <f>O53/$O$46*$R$46*12</f>
        <v>272217.60000000003</v>
      </c>
    </row>
    <row r="54" spans="3:18" ht="15">
      <c r="C54" s="7" t="s">
        <v>132</v>
      </c>
      <c r="D54" s="8">
        <f>D47*Общ!$C$3</f>
        <v>40</v>
      </c>
      <c r="E54" s="8">
        <f>E47*Общ!$C$3</f>
        <v>80</v>
      </c>
      <c r="F54" s="8">
        <f>F47*Общ!$C$3</f>
        <v>120</v>
      </c>
      <c r="G54" s="8">
        <f>G47*Общ!$C$3</f>
        <v>160</v>
      </c>
      <c r="H54" s="8">
        <f>H47*Общ!$C$3</f>
        <v>200</v>
      </c>
      <c r="I54" s="8">
        <f>I47*Общ!$C$3</f>
        <v>240</v>
      </c>
      <c r="J54" s="8">
        <f>J47*Общ!$C$3</f>
        <v>280</v>
      </c>
      <c r="K54" s="8">
        <f>K47*Общ!$C$3</f>
        <v>320</v>
      </c>
      <c r="L54" s="8">
        <f>L47*Общ!$C$3</f>
        <v>360</v>
      </c>
      <c r="M54" s="8">
        <f>M47*Общ!$C$3</f>
        <v>400</v>
      </c>
      <c r="N54" s="8">
        <f>N47*Общ!$C$3</f>
        <v>440</v>
      </c>
      <c r="O54" s="10">
        <f>O47*Общ!$C$3</f>
        <v>480</v>
      </c>
      <c r="P54" s="31">
        <f t="shared" si="2"/>
        <v>3120</v>
      </c>
      <c r="Q54" s="31">
        <f>O54*12</f>
        <v>5760</v>
      </c>
      <c r="R54" s="31">
        <f>O54*12</f>
        <v>5760</v>
      </c>
    </row>
    <row r="55" spans="3:18" ht="15">
      <c r="C55" s="7" t="s">
        <v>117</v>
      </c>
      <c r="D55" s="8">
        <f>$D$37</f>
        <v>0</v>
      </c>
      <c r="E55" s="30">
        <f aca="true" t="shared" si="4" ref="E55:O55">$D$37</f>
        <v>0</v>
      </c>
      <c r="F55" s="30">
        <f t="shared" si="4"/>
        <v>0</v>
      </c>
      <c r="G55" s="30">
        <f t="shared" si="4"/>
        <v>0</v>
      </c>
      <c r="H55" s="30">
        <f t="shared" si="4"/>
        <v>0</v>
      </c>
      <c r="I55" s="30">
        <f t="shared" si="4"/>
        <v>0</v>
      </c>
      <c r="J55" s="30">
        <f t="shared" si="4"/>
        <v>0</v>
      </c>
      <c r="K55" s="30">
        <f t="shared" si="4"/>
        <v>0</v>
      </c>
      <c r="L55" s="30">
        <f t="shared" si="4"/>
        <v>0</v>
      </c>
      <c r="M55" s="30">
        <f t="shared" si="4"/>
        <v>0</v>
      </c>
      <c r="N55" s="30">
        <f t="shared" si="4"/>
        <v>0</v>
      </c>
      <c r="O55" s="10">
        <f t="shared" si="4"/>
        <v>0</v>
      </c>
      <c r="P55" s="31">
        <f t="shared" si="2"/>
        <v>0</v>
      </c>
      <c r="Q55" s="46">
        <f>O55*12</f>
        <v>0</v>
      </c>
      <c r="R55" s="46">
        <f>O55*12</f>
        <v>0</v>
      </c>
    </row>
    <row r="56" spans="3:18" ht="15">
      <c r="C56" s="7" t="s">
        <v>118</v>
      </c>
      <c r="D56" s="8">
        <f>D48+D49+D50+D51-D52-D53-D54-D55</f>
        <v>4.840000000000003</v>
      </c>
      <c r="E56" s="8">
        <f aca="true" t="shared" si="5" ref="E56:Q56">E48+E49+E50+E51-E52-E53-E54-E55</f>
        <v>-35.16</v>
      </c>
      <c r="F56" s="8">
        <f t="shared" si="5"/>
        <v>-1925.5600000000002</v>
      </c>
      <c r="G56" s="8">
        <f t="shared" si="5"/>
        <v>-1965.5600000000002</v>
      </c>
      <c r="H56" s="8">
        <f t="shared" si="5"/>
        <v>-2005.5600000000002</v>
      </c>
      <c r="I56" s="8">
        <f t="shared" si="5"/>
        <v>-3895.96</v>
      </c>
      <c r="J56" s="8">
        <f t="shared" si="5"/>
        <v>-3935.96</v>
      </c>
      <c r="K56" s="8">
        <f t="shared" si="5"/>
        <v>-3975.96</v>
      </c>
      <c r="L56" s="8">
        <f t="shared" si="5"/>
        <v>-5866.360000000001</v>
      </c>
      <c r="M56" s="8">
        <f t="shared" si="5"/>
        <v>-5906.360000000001</v>
      </c>
      <c r="N56" s="8">
        <f t="shared" si="5"/>
        <v>-5946.360000000001</v>
      </c>
      <c r="O56" s="10">
        <f t="shared" si="5"/>
        <v>-7836.76</v>
      </c>
      <c r="P56" s="8">
        <f>P48+P49+P50+P51-P52-P53-P54-P55</f>
        <v>-43290.719999999994</v>
      </c>
      <c r="Q56" s="30">
        <f t="shared" si="5"/>
        <v>-182860.32000000004</v>
      </c>
      <c r="R56" s="30">
        <f>R48+R49+R50+R51-R52-R53-R54-R55</f>
        <v>-271679.52</v>
      </c>
    </row>
    <row r="57" spans="3:19" ht="15">
      <c r="C57" s="5" t="s">
        <v>138</v>
      </c>
      <c r="D57" s="65">
        <f aca="true" t="shared" si="6" ref="D57:O57">MAX(SUM(D48:D51)*$K$42*0.5,SUM(D48:D51)*$K$42-$D$17)</f>
        <v>0</v>
      </c>
      <c r="E57" s="66">
        <f t="shared" si="6"/>
        <v>0</v>
      </c>
      <c r="F57" s="66">
        <f t="shared" si="6"/>
        <v>3</v>
      </c>
      <c r="G57" s="66">
        <f t="shared" si="6"/>
        <v>3</v>
      </c>
      <c r="H57" s="66">
        <f t="shared" si="6"/>
        <v>3</v>
      </c>
      <c r="I57" s="66">
        <f t="shared" si="6"/>
        <v>6</v>
      </c>
      <c r="J57" s="66">
        <f t="shared" si="6"/>
        <v>6</v>
      </c>
      <c r="K57" s="66">
        <f t="shared" si="6"/>
        <v>6</v>
      </c>
      <c r="L57" s="66">
        <f t="shared" si="6"/>
        <v>9</v>
      </c>
      <c r="M57" s="66">
        <f t="shared" si="6"/>
        <v>9</v>
      </c>
      <c r="N57" s="66">
        <f t="shared" si="6"/>
        <v>9</v>
      </c>
      <c r="O57" s="67">
        <f t="shared" si="6"/>
        <v>12</v>
      </c>
      <c r="P57" s="66">
        <f>SUM(D57:O57)</f>
        <v>66</v>
      </c>
      <c r="Q57" s="66">
        <f>MAX(SUM(Q48:Q51)*$K$42*0.5,SUM(Q48:Q51)*$K$42-$D$17)</f>
        <v>551.84</v>
      </c>
      <c r="R57" s="66">
        <f>MAX(SUM(R48:R51)*$K$42*0.5,SUM(R48:R51)*$K$42-$D$17)</f>
        <v>839.84</v>
      </c>
      <c r="S57" s="35"/>
    </row>
    <row r="58" spans="3:18" ht="15">
      <c r="C58" s="68" t="s">
        <v>119</v>
      </c>
      <c r="D58" s="45">
        <f>D56-D57</f>
        <v>4.840000000000003</v>
      </c>
      <c r="E58" s="45">
        <f aca="true" t="shared" si="7" ref="E58:Q58">E56-E57</f>
        <v>-35.16</v>
      </c>
      <c r="F58" s="45">
        <f t="shared" si="7"/>
        <v>-1928.5600000000002</v>
      </c>
      <c r="G58" s="45">
        <f t="shared" si="7"/>
        <v>-1968.5600000000002</v>
      </c>
      <c r="H58" s="45">
        <f t="shared" si="7"/>
        <v>-2008.5600000000002</v>
      </c>
      <c r="I58" s="45">
        <f t="shared" si="7"/>
        <v>-3901.96</v>
      </c>
      <c r="J58" s="45">
        <f t="shared" si="7"/>
        <v>-3941.96</v>
      </c>
      <c r="K58" s="45">
        <f t="shared" si="7"/>
        <v>-3981.96</v>
      </c>
      <c r="L58" s="45">
        <f t="shared" si="7"/>
        <v>-5875.360000000001</v>
      </c>
      <c r="M58" s="45">
        <f t="shared" si="7"/>
        <v>-5915.360000000001</v>
      </c>
      <c r="N58" s="45">
        <f t="shared" si="7"/>
        <v>-5955.360000000001</v>
      </c>
      <c r="O58" s="69">
        <f t="shared" si="7"/>
        <v>-7848.76</v>
      </c>
      <c r="P58" s="45">
        <f t="shared" si="7"/>
        <v>-43356.719999999994</v>
      </c>
      <c r="Q58" s="69">
        <f t="shared" si="7"/>
        <v>-183412.16000000003</v>
      </c>
      <c r="R58" s="69">
        <f>R56-R57</f>
        <v>-272519.36000000004</v>
      </c>
    </row>
    <row r="59" spans="4:9" ht="15">
      <c r="D59" s="8"/>
      <c r="E59" s="8"/>
      <c r="F59" s="8"/>
      <c r="G59" s="8"/>
      <c r="H59" s="8"/>
      <c r="I59" s="70"/>
    </row>
    <row r="60" spans="1:18" ht="15">
      <c r="A60" s="60"/>
      <c r="B60" s="61" t="s">
        <v>104</v>
      </c>
      <c r="C60" s="60"/>
      <c r="D60" s="60"/>
      <c r="E60" s="60"/>
      <c r="F60" s="60"/>
      <c r="G60" s="60"/>
      <c r="H60" s="60"/>
      <c r="I60" s="71"/>
      <c r="J60" s="60"/>
      <c r="K60" s="60"/>
      <c r="L60" s="60"/>
      <c r="M60" s="60"/>
      <c r="N60" s="60"/>
      <c r="O60" s="60"/>
      <c r="P60" s="60"/>
      <c r="Q60" s="60"/>
      <c r="R60" s="60"/>
    </row>
    <row r="61" spans="3:18" ht="15">
      <c r="C61" t="s">
        <v>91</v>
      </c>
      <c r="D61" s="8">
        <f>Общ!C25</f>
        <v>240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</row>
    <row r="62" spans="3:18" ht="15">
      <c r="C62" t="s">
        <v>147</v>
      </c>
      <c r="D62" s="8">
        <v>40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</row>
    <row r="63" spans="3:18" ht="15">
      <c r="C63" t="s">
        <v>106</v>
      </c>
      <c r="D63" s="8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</row>
    <row r="64" spans="3:18" ht="15">
      <c r="C64" s="44" t="s">
        <v>109</v>
      </c>
      <c r="D64" s="45">
        <f>SUM(D61:D63)</f>
        <v>280</v>
      </c>
      <c r="E64" s="45">
        <f aca="true" t="shared" si="8" ref="E64:R64">SUM(E61:E63)</f>
        <v>0</v>
      </c>
      <c r="F64" s="45">
        <f t="shared" si="8"/>
        <v>0</v>
      </c>
      <c r="G64" s="45">
        <f t="shared" si="8"/>
        <v>0</v>
      </c>
      <c r="H64" s="45">
        <f t="shared" si="8"/>
        <v>0</v>
      </c>
      <c r="I64" s="45">
        <f t="shared" si="8"/>
        <v>0</v>
      </c>
      <c r="J64" s="45">
        <f t="shared" si="8"/>
        <v>0</v>
      </c>
      <c r="K64" s="45">
        <f t="shared" si="8"/>
        <v>0</v>
      </c>
      <c r="L64" s="45">
        <f t="shared" si="8"/>
        <v>0</v>
      </c>
      <c r="M64" s="45">
        <f t="shared" si="8"/>
        <v>0</v>
      </c>
      <c r="N64" s="45">
        <f t="shared" si="8"/>
        <v>0</v>
      </c>
      <c r="O64" s="45">
        <f t="shared" si="8"/>
        <v>0</v>
      </c>
      <c r="P64" s="45">
        <f t="shared" si="8"/>
        <v>0</v>
      </c>
      <c r="Q64" s="45">
        <f t="shared" si="8"/>
        <v>0</v>
      </c>
      <c r="R64" s="45">
        <f t="shared" si="8"/>
        <v>0</v>
      </c>
    </row>
    <row r="66" spans="1:18" ht="15">
      <c r="A66" s="60"/>
      <c r="B66" s="60"/>
      <c r="C66" s="60"/>
      <c r="D66" s="61"/>
      <c r="E66" s="61"/>
      <c r="F66" s="61"/>
      <c r="G66" s="61" t="s">
        <v>146</v>
      </c>
      <c r="H66" s="60"/>
      <c r="I66" s="60"/>
      <c r="J66" s="60"/>
      <c r="K66" s="72">
        <f>P58/D64</f>
        <v>-154.84542857142856</v>
      </c>
      <c r="L66" s="60"/>
      <c r="M66" s="61" t="s">
        <v>94</v>
      </c>
      <c r="N66" s="60"/>
      <c r="O66" s="73">
        <f>IF(P58&gt;0,IF(D64*12/P58&gt;=12,(D64-P58)/D43+12,D64*12/P58),D64/D43+12)</f>
        <v>12.19885130231032</v>
      </c>
      <c r="P66" s="61" t="s">
        <v>45</v>
      </c>
      <c r="Q66" s="73">
        <f>O66/12</f>
        <v>1.0165709418591933</v>
      </c>
      <c r="R66" s="61" t="s">
        <v>121</v>
      </c>
    </row>
  </sheetData>
  <sheetProtection/>
  <printOptions/>
  <pageMargins left="0.75" right="0.75" top="1" bottom="1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0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1" width="4.00390625" style="0" customWidth="1"/>
    <col min="2" max="2" width="6.00390625" style="0" customWidth="1"/>
    <col min="3" max="3" width="27.8515625" style="0" customWidth="1"/>
    <col min="4" max="4" width="10.421875" style="0" bestFit="1" customWidth="1"/>
    <col min="5" max="5" width="10.421875" style="0" customWidth="1"/>
    <col min="6" max="6" width="9.00390625" style="0" customWidth="1"/>
    <col min="7" max="7" width="10.00390625" style="0" bestFit="1" customWidth="1"/>
    <col min="8" max="10" width="9.00390625" style="0" customWidth="1"/>
    <col min="11" max="11" width="11.140625" style="0" bestFit="1" customWidth="1"/>
    <col min="12" max="12" width="10.8515625" style="0" customWidth="1"/>
    <col min="13" max="15" width="9.00390625" style="0" customWidth="1"/>
    <col min="16" max="16" width="10.00390625" style="0" customWidth="1"/>
    <col min="17" max="17" width="10.140625" style="0" customWidth="1"/>
    <col min="18" max="18" width="10.00390625" style="0" customWidth="1"/>
  </cols>
  <sheetData>
    <row r="1" spans="2:6" ht="15">
      <c r="B1" s="1" t="s">
        <v>98</v>
      </c>
      <c r="D1" s="1" t="s">
        <v>70</v>
      </c>
      <c r="F1" s="1" t="s">
        <v>85</v>
      </c>
    </row>
    <row r="2" spans="2:8" ht="15">
      <c r="B2" s="1"/>
      <c r="D2" t="s">
        <v>45</v>
      </c>
      <c r="E2" t="s">
        <v>46</v>
      </c>
      <c r="F2" t="s">
        <v>47</v>
      </c>
      <c r="H2" t="s">
        <v>148</v>
      </c>
    </row>
    <row r="3" spans="1:10" ht="15">
      <c r="A3" s="20" t="s">
        <v>23</v>
      </c>
      <c r="B3" s="20" t="s">
        <v>71</v>
      </c>
      <c r="C3" s="19"/>
      <c r="D3" s="80">
        <f>SUM(D4:D5)</f>
        <v>3650</v>
      </c>
      <c r="E3" s="80">
        <f>SUM(E4:E5)</f>
        <v>43800</v>
      </c>
      <c r="F3" s="22"/>
      <c r="H3" t="s">
        <v>100</v>
      </c>
      <c r="J3" t="s">
        <v>158</v>
      </c>
    </row>
    <row r="4" spans="2:10" ht="15">
      <c r="B4" s="12" t="s">
        <v>72</v>
      </c>
      <c r="C4" s="12" t="s">
        <v>176</v>
      </c>
      <c r="D4" s="81">
        <f>H4*J4</f>
        <v>3500</v>
      </c>
      <c r="E4" s="81">
        <f aca="true" t="shared" si="0" ref="E4:E15">D4*12</f>
        <v>42000</v>
      </c>
      <c r="F4" s="22"/>
      <c r="H4" s="43">
        <v>14</v>
      </c>
      <c r="J4" s="102">
        <v>250</v>
      </c>
    </row>
    <row r="5" spans="2:10" ht="15">
      <c r="B5" s="12"/>
      <c r="C5" s="12" t="s">
        <v>177</v>
      </c>
      <c r="D5" s="81">
        <f>H5*J5</f>
        <v>150</v>
      </c>
      <c r="E5" s="81">
        <f t="shared" si="0"/>
        <v>1800</v>
      </c>
      <c r="F5" s="22"/>
      <c r="H5" s="43">
        <v>10</v>
      </c>
      <c r="J5" s="102">
        <v>15</v>
      </c>
    </row>
    <row r="6" spans="1:11" ht="15">
      <c r="A6" s="1" t="s">
        <v>24</v>
      </c>
      <c r="B6" s="1" t="s">
        <v>14</v>
      </c>
      <c r="D6" s="82">
        <f>D7+D11+D15+D16</f>
        <v>2498.8686274509805</v>
      </c>
      <c r="E6" s="100">
        <f t="shared" si="0"/>
        <v>29986.423529411768</v>
      </c>
      <c r="F6" s="22">
        <f>D6/$D$3</f>
        <v>0.6846215417673919</v>
      </c>
      <c r="H6" s="28"/>
      <c r="I6" s="28"/>
      <c r="J6" s="28"/>
      <c r="K6" s="28"/>
    </row>
    <row r="7" spans="1:6" ht="15">
      <c r="A7" t="s">
        <v>25</v>
      </c>
      <c r="B7" s="57" t="s">
        <v>17</v>
      </c>
      <c r="C7" s="57"/>
      <c r="D7" s="83">
        <f>SUM(D8:D9)</f>
        <v>2421.5686274509803</v>
      </c>
      <c r="E7" s="83">
        <f>SUM(E8:E9)</f>
        <v>29058.823529411766</v>
      </c>
      <c r="F7" s="22">
        <f>D7/D3</f>
        <v>0.663443459575611</v>
      </c>
    </row>
    <row r="8" spans="2:10" ht="15">
      <c r="B8" s="57"/>
      <c r="C8" s="12" t="s">
        <v>178</v>
      </c>
      <c r="D8" s="81">
        <f>D4/(1+J8)</f>
        <v>2333.3333333333335</v>
      </c>
      <c r="E8" s="81">
        <f>D8*12</f>
        <v>28000</v>
      </c>
      <c r="F8" s="18"/>
      <c r="H8" t="s">
        <v>140</v>
      </c>
      <c r="J8" s="42">
        <v>0.5</v>
      </c>
    </row>
    <row r="9" spans="2:10" ht="15">
      <c r="B9" s="57"/>
      <c r="C9" s="12" t="s">
        <v>179</v>
      </c>
      <c r="D9" s="81">
        <f>D5/(1+J9)</f>
        <v>88.23529411764706</v>
      </c>
      <c r="E9" s="81">
        <f>D9*12</f>
        <v>1058.8235294117646</v>
      </c>
      <c r="F9" s="18"/>
      <c r="H9" t="s">
        <v>140</v>
      </c>
      <c r="J9" s="42">
        <v>0.7</v>
      </c>
    </row>
    <row r="10" spans="1:16" ht="15">
      <c r="A10" s="94" t="s">
        <v>12</v>
      </c>
      <c r="B10" s="19"/>
      <c r="C10" s="19"/>
      <c r="D10" s="84">
        <f>D3-D7</f>
        <v>1228.4313725490197</v>
      </c>
      <c r="E10" s="84">
        <f>E3-E7</f>
        <v>14741.176470588234</v>
      </c>
      <c r="F10" s="97">
        <f>D10/$D$3</f>
        <v>0.33655654042438893</v>
      </c>
      <c r="H10" s="95"/>
      <c r="I10" s="95"/>
      <c r="J10" s="95"/>
      <c r="K10" s="95"/>
      <c r="M10" s="28"/>
      <c r="O10" s="28"/>
      <c r="P10" s="28"/>
    </row>
    <row r="11" spans="1:8" ht="15">
      <c r="A11" t="s">
        <v>26</v>
      </c>
      <c r="B11" s="57" t="s">
        <v>159</v>
      </c>
      <c r="C11" s="57"/>
      <c r="D11" s="98">
        <f>SUM(D12:D14)</f>
        <v>0</v>
      </c>
      <c r="E11" s="98">
        <f t="shared" si="0"/>
        <v>0</v>
      </c>
      <c r="F11" s="18"/>
      <c r="H11" s="18"/>
    </row>
    <row r="12" spans="2:10" ht="15">
      <c r="B12" s="12" t="s">
        <v>149</v>
      </c>
      <c r="C12" s="12" t="s">
        <v>150</v>
      </c>
      <c r="D12" s="81">
        <f>D4*J12</f>
        <v>0</v>
      </c>
      <c r="E12" s="81">
        <f t="shared" si="0"/>
        <v>0</v>
      </c>
      <c r="F12" s="18"/>
      <c r="H12" s="18" t="s">
        <v>84</v>
      </c>
      <c r="J12" s="42">
        <v>0</v>
      </c>
    </row>
    <row r="13" spans="2:13" ht="15">
      <c r="B13" s="12" t="s">
        <v>151</v>
      </c>
      <c r="C13" s="12" t="s">
        <v>152</v>
      </c>
      <c r="D13" s="81">
        <f>D4*J13</f>
        <v>0</v>
      </c>
      <c r="E13" s="81">
        <f t="shared" si="0"/>
        <v>0</v>
      </c>
      <c r="F13" s="18"/>
      <c r="H13" s="18" t="s">
        <v>84</v>
      </c>
      <c r="J13" s="42">
        <v>0</v>
      </c>
      <c r="M13" s="28"/>
    </row>
    <row r="14" spans="2:16" ht="15">
      <c r="B14" s="12" t="s">
        <v>153</v>
      </c>
      <c r="C14" s="12" t="s">
        <v>16</v>
      </c>
      <c r="D14" s="81">
        <f>SUM(D12:D13)*$I$21*F14</f>
        <v>0</v>
      </c>
      <c r="E14" s="81">
        <f t="shared" si="0"/>
        <v>0</v>
      </c>
      <c r="F14" s="99">
        <v>1</v>
      </c>
      <c r="H14" s="18"/>
      <c r="N14" s="74"/>
      <c r="O14" s="28"/>
      <c r="P14" s="28"/>
    </row>
    <row r="15" spans="1:16" ht="15">
      <c r="A15" t="s">
        <v>26</v>
      </c>
      <c r="B15" s="57" t="s">
        <v>154</v>
      </c>
      <c r="C15" s="57"/>
      <c r="D15" s="98">
        <f>D4*J15</f>
        <v>70</v>
      </c>
      <c r="E15" s="98">
        <f t="shared" si="0"/>
        <v>840</v>
      </c>
      <c r="F15" s="18"/>
      <c r="H15" s="18" t="s">
        <v>84</v>
      </c>
      <c r="J15" s="42">
        <v>0.02</v>
      </c>
      <c r="O15" s="28"/>
      <c r="P15" s="28"/>
    </row>
    <row r="16" spans="1:16" ht="15">
      <c r="A16" t="s">
        <v>26</v>
      </c>
      <c r="B16" s="57" t="s">
        <v>101</v>
      </c>
      <c r="D16" s="83">
        <f>D3*J16</f>
        <v>7.3</v>
      </c>
      <c r="E16" s="83">
        <f>D16*12</f>
        <v>87.6</v>
      </c>
      <c r="H16" t="s">
        <v>84</v>
      </c>
      <c r="J16" s="25">
        <v>0.002</v>
      </c>
      <c r="M16" s="28"/>
      <c r="O16" s="28"/>
      <c r="P16" s="28"/>
    </row>
    <row r="17" spans="1:16" ht="15">
      <c r="A17" s="94" t="s">
        <v>13</v>
      </c>
      <c r="B17" s="19"/>
      <c r="C17" s="19"/>
      <c r="D17" s="84">
        <f>D3-D6</f>
        <v>1151.1313725490195</v>
      </c>
      <c r="E17" s="84">
        <f>D17*12</f>
        <v>13813.576470588234</v>
      </c>
      <c r="F17" s="8"/>
      <c r="M17" s="28"/>
      <c r="O17" s="28"/>
      <c r="P17" s="28"/>
    </row>
    <row r="18" spans="1:16" ht="15">
      <c r="A18" s="1" t="s">
        <v>27</v>
      </c>
      <c r="B18" s="1" t="s">
        <v>18</v>
      </c>
      <c r="D18" s="82">
        <f>D19+D22+D24+D27+D31</f>
        <v>186.06</v>
      </c>
      <c r="E18" s="82">
        <f>E19+E22+E24+E27+E31</f>
        <v>2232.7200000000003</v>
      </c>
      <c r="F18" s="22">
        <f>E18/$E$3</f>
        <v>0.05097534246575343</v>
      </c>
      <c r="M18" s="28"/>
      <c r="O18" s="28"/>
      <c r="P18" s="28"/>
    </row>
    <row r="19" spans="1:17" ht="15">
      <c r="A19" t="s">
        <v>28</v>
      </c>
      <c r="B19" s="57" t="s">
        <v>160</v>
      </c>
      <c r="D19" s="83">
        <f>SUM(D20:D21)</f>
        <v>39.06</v>
      </c>
      <c r="E19" s="83">
        <f>SUM(E20:E21)</f>
        <v>468.72</v>
      </c>
      <c r="F19" s="18"/>
      <c r="O19" s="28"/>
      <c r="P19" s="28"/>
      <c r="Q19" s="28"/>
    </row>
    <row r="20" spans="2:16" ht="15">
      <c r="B20" s="12" t="s">
        <v>32</v>
      </c>
      <c r="C20" s="12" t="s">
        <v>156</v>
      </c>
      <c r="D20" s="81">
        <f>I20*K20</f>
        <v>30</v>
      </c>
      <c r="E20" s="81">
        <f>D20*12</f>
        <v>360</v>
      </c>
      <c r="H20" t="s">
        <v>75</v>
      </c>
      <c r="I20" s="23">
        <v>1</v>
      </c>
      <c r="J20" t="s">
        <v>155</v>
      </c>
      <c r="K20" s="39">
        <v>30</v>
      </c>
      <c r="O20" s="28"/>
      <c r="P20" s="28"/>
    </row>
    <row r="21" spans="2:16" ht="15">
      <c r="B21" s="12" t="s">
        <v>33</v>
      </c>
      <c r="C21" s="12" t="s">
        <v>16</v>
      </c>
      <c r="D21" s="81">
        <f>SUM(D20:D20)*I21*F21</f>
        <v>9.06</v>
      </c>
      <c r="E21" s="81">
        <f>D21*12</f>
        <v>108.72</v>
      </c>
      <c r="F21" s="99">
        <v>1</v>
      </c>
      <c r="H21" t="s">
        <v>76</v>
      </c>
      <c r="I21" s="25">
        <v>0.302</v>
      </c>
      <c r="K21" s="31"/>
      <c r="O21" s="28"/>
      <c r="P21" s="28"/>
    </row>
    <row r="22" spans="1:16" ht="15">
      <c r="A22" t="s">
        <v>29</v>
      </c>
      <c r="B22" s="57" t="s">
        <v>19</v>
      </c>
      <c r="D22" s="83">
        <f>SUM(D23:D23)</f>
        <v>100</v>
      </c>
      <c r="E22" s="83">
        <f>SUM(E23:E23)</f>
        <v>1200</v>
      </c>
      <c r="K22" s="31"/>
      <c r="N22" s="74"/>
      <c r="O22" s="28"/>
      <c r="P22" s="28"/>
    </row>
    <row r="23" spans="2:16" ht="15">
      <c r="B23" s="12" t="s">
        <v>34</v>
      </c>
      <c r="C23" s="12" t="s">
        <v>11</v>
      </c>
      <c r="D23" s="81">
        <f>I23*K23</f>
        <v>100</v>
      </c>
      <c r="E23" s="81">
        <f>D23*12</f>
        <v>1200</v>
      </c>
      <c r="H23" t="s">
        <v>95</v>
      </c>
      <c r="I23" s="23">
        <v>100</v>
      </c>
      <c r="J23" t="s">
        <v>76</v>
      </c>
      <c r="K23" s="23">
        <v>1</v>
      </c>
      <c r="N23" s="74"/>
      <c r="O23" s="28"/>
      <c r="P23" s="28"/>
    </row>
    <row r="24" spans="1:16" ht="15">
      <c r="A24" t="s">
        <v>30</v>
      </c>
      <c r="B24" s="57" t="s">
        <v>31</v>
      </c>
      <c r="D24" s="83">
        <f>SUM(D25:D26)</f>
        <v>7</v>
      </c>
      <c r="E24" s="83">
        <f>SUM(E25:E26)</f>
        <v>84</v>
      </c>
      <c r="O24" s="28"/>
      <c r="P24" s="28"/>
    </row>
    <row r="25" spans="2:16" ht="15">
      <c r="B25" s="12" t="s">
        <v>40</v>
      </c>
      <c r="C25" s="12" t="s">
        <v>48</v>
      </c>
      <c r="D25" s="81">
        <v>5</v>
      </c>
      <c r="E25" s="81">
        <f aca="true" t="shared" si="1" ref="E25:E30">D25*12</f>
        <v>60</v>
      </c>
      <c r="O25" s="28"/>
      <c r="P25" s="28"/>
    </row>
    <row r="26" spans="2:16" ht="15">
      <c r="B26" s="12" t="s">
        <v>41</v>
      </c>
      <c r="C26" s="12" t="s">
        <v>39</v>
      </c>
      <c r="D26" s="81">
        <v>2</v>
      </c>
      <c r="E26" s="81">
        <f t="shared" si="1"/>
        <v>24</v>
      </c>
      <c r="F26" s="28"/>
      <c r="O26" s="28"/>
      <c r="P26" s="28"/>
    </row>
    <row r="27" spans="1:16" ht="15">
      <c r="A27" s="57" t="s">
        <v>52</v>
      </c>
      <c r="B27" s="96" t="s">
        <v>50</v>
      </c>
      <c r="C27" s="28"/>
      <c r="D27" s="74">
        <f>SUM(D28:D30)</f>
        <v>0</v>
      </c>
      <c r="E27" s="74">
        <f t="shared" si="1"/>
        <v>0</v>
      </c>
      <c r="F27" s="18"/>
      <c r="O27" s="28"/>
      <c r="P27" s="28"/>
    </row>
    <row r="28" spans="1:16" ht="15">
      <c r="A28" s="57"/>
      <c r="B28" s="32" t="s">
        <v>161</v>
      </c>
      <c r="C28" s="32" t="s">
        <v>162</v>
      </c>
      <c r="D28" s="101">
        <v>0</v>
      </c>
      <c r="E28" s="101">
        <f t="shared" si="1"/>
        <v>0</v>
      </c>
      <c r="F28" s="18"/>
      <c r="O28" s="28"/>
      <c r="P28" s="28"/>
    </row>
    <row r="29" spans="1:16" ht="15">
      <c r="A29" s="57"/>
      <c r="B29" s="32" t="s">
        <v>163</v>
      </c>
      <c r="C29" s="32" t="s">
        <v>164</v>
      </c>
      <c r="D29" s="101">
        <v>0</v>
      </c>
      <c r="E29" s="101">
        <f t="shared" si="1"/>
        <v>0</v>
      </c>
      <c r="F29" s="18"/>
      <c r="O29" s="28"/>
      <c r="P29" s="28"/>
    </row>
    <row r="30" spans="1:16" ht="15">
      <c r="A30" s="57"/>
      <c r="B30" s="32" t="s">
        <v>165</v>
      </c>
      <c r="C30" s="32" t="s">
        <v>166</v>
      </c>
      <c r="D30" s="101">
        <v>0</v>
      </c>
      <c r="E30" s="101">
        <f t="shared" si="1"/>
        <v>0</v>
      </c>
      <c r="F30" s="18"/>
      <c r="O30" s="28"/>
      <c r="P30" s="28"/>
    </row>
    <row r="31" spans="1:6" ht="15">
      <c r="A31" s="1" t="s">
        <v>53</v>
      </c>
      <c r="B31" s="1" t="s">
        <v>51</v>
      </c>
      <c r="C31" s="1"/>
      <c r="D31" s="82">
        <f>SUM(D32:D33)</f>
        <v>40</v>
      </c>
      <c r="E31" s="82">
        <f>SUM(E32:E33)</f>
        <v>480</v>
      </c>
      <c r="F31" s="22"/>
    </row>
    <row r="32" spans="2:13" ht="15">
      <c r="B32" s="12" t="s">
        <v>54</v>
      </c>
      <c r="C32" s="12" t="s">
        <v>2</v>
      </c>
      <c r="D32" s="81">
        <f>IF(L32="%",(K32&amp;"%")*D3,K32)</f>
        <v>0</v>
      </c>
      <c r="E32" s="81">
        <f>D32*12</f>
        <v>0</v>
      </c>
      <c r="H32" t="s">
        <v>77</v>
      </c>
      <c r="K32" s="40">
        <f>Общ!C2</f>
        <v>0</v>
      </c>
      <c r="L32" t="str">
        <f>Общ!D2</f>
        <v>тыс.руб./мес.</v>
      </c>
      <c r="M32" s="22"/>
    </row>
    <row r="33" spans="2:13" ht="15">
      <c r="B33" s="12" t="s">
        <v>55</v>
      </c>
      <c r="C33" s="12" t="s">
        <v>4</v>
      </c>
      <c r="D33" s="81">
        <f>IF(L33="%",(K33&amp;"%")*D3,K33)</f>
        <v>40</v>
      </c>
      <c r="E33" s="81">
        <f>D33*12</f>
        <v>480</v>
      </c>
      <c r="H33" t="s">
        <v>78</v>
      </c>
      <c r="K33" s="40">
        <f>Общ!C3</f>
        <v>40</v>
      </c>
      <c r="L33" t="str">
        <f>Общ!D3</f>
        <v>тыс.руб./мес.</v>
      </c>
      <c r="M33" s="22"/>
    </row>
    <row r="34" spans="1:5" ht="15">
      <c r="A34" s="19" t="s">
        <v>56</v>
      </c>
      <c r="B34" s="19"/>
      <c r="C34" s="19"/>
      <c r="D34" s="84">
        <f>D17-D18</f>
        <v>965.0713725490195</v>
      </c>
      <c r="E34" s="84">
        <f>E17-E18</f>
        <v>11580.856470588235</v>
      </c>
    </row>
    <row r="35" spans="1:12" ht="15">
      <c r="A35" t="s">
        <v>62</v>
      </c>
      <c r="B35" t="s">
        <v>57</v>
      </c>
      <c r="D35" s="83">
        <f>E35/12</f>
        <v>0</v>
      </c>
      <c r="E35" s="83">
        <f>J35*L35</f>
        <v>0</v>
      </c>
      <c r="H35" t="s">
        <v>79</v>
      </c>
      <c r="J35" s="26">
        <v>0</v>
      </c>
      <c r="K35" t="s">
        <v>80</v>
      </c>
      <c r="L35" s="24">
        <v>0.2</v>
      </c>
    </row>
    <row r="36" spans="1:5" ht="15">
      <c r="A36" s="20" t="s">
        <v>63</v>
      </c>
      <c r="B36" s="20" t="s">
        <v>64</v>
      </c>
      <c r="C36" s="19"/>
      <c r="D36" s="80">
        <f>D34-D35</f>
        <v>965.0713725490195</v>
      </c>
      <c r="E36" s="80">
        <f>E34-E35</f>
        <v>11580.856470588235</v>
      </c>
    </row>
    <row r="37" spans="1:5" ht="15">
      <c r="A37" t="s">
        <v>65</v>
      </c>
      <c r="B37" t="s">
        <v>58</v>
      </c>
      <c r="D37" s="83">
        <v>0</v>
      </c>
      <c r="E37" s="83">
        <v>0</v>
      </c>
    </row>
    <row r="38" spans="1:5" ht="15">
      <c r="A38" t="s">
        <v>66</v>
      </c>
      <c r="B38" t="s">
        <v>59</v>
      </c>
      <c r="D38" s="83">
        <f>D36-D37</f>
        <v>965.0713725490195</v>
      </c>
      <c r="E38" s="83">
        <f>E36-E37</f>
        <v>11580.856470588235</v>
      </c>
    </row>
    <row r="39" spans="1:5" ht="15">
      <c r="A39" s="14" t="s">
        <v>67</v>
      </c>
      <c r="B39" t="s">
        <v>60</v>
      </c>
      <c r="D39" s="83">
        <f>SUM(D40:D40)</f>
        <v>144.76070588235294</v>
      </c>
      <c r="E39" s="83">
        <f>SUM(E40:E40)</f>
        <v>1737.1284705882351</v>
      </c>
    </row>
    <row r="40" spans="2:17" ht="15">
      <c r="B40" s="15" t="s">
        <v>68</v>
      </c>
      <c r="C40" s="12" t="s">
        <v>157</v>
      </c>
      <c r="D40" s="81">
        <f>MAX(D38*$J$40,1%*D3)</f>
        <v>144.76070588235294</v>
      </c>
      <c r="E40" s="81">
        <f>MAX(E38*$J$40,1%*E3)</f>
        <v>1737.1284705882351</v>
      </c>
      <c r="H40" t="s">
        <v>107</v>
      </c>
      <c r="J40" s="24">
        <v>0.15</v>
      </c>
      <c r="K40" s="28"/>
      <c r="L40" s="28"/>
      <c r="M40" s="28"/>
      <c r="N40" s="28"/>
      <c r="O40" s="28"/>
      <c r="P40" s="28"/>
      <c r="Q40" s="28"/>
    </row>
    <row r="41" spans="1:17" ht="15">
      <c r="A41" s="29" t="s">
        <v>69</v>
      </c>
      <c r="B41" s="20" t="s">
        <v>61</v>
      </c>
      <c r="C41" s="19"/>
      <c r="D41" s="80">
        <f>D38-D39</f>
        <v>820.3106666666666</v>
      </c>
      <c r="E41" s="80">
        <f>E38-E39</f>
        <v>9843.728</v>
      </c>
      <c r="F41" s="27">
        <f>D41/D3</f>
        <v>0.22474264840182648</v>
      </c>
      <c r="K41" s="28"/>
      <c r="L41" s="28"/>
      <c r="M41" s="28"/>
      <c r="N41" s="28"/>
      <c r="O41" s="28"/>
      <c r="P41" s="28"/>
      <c r="Q41" s="28"/>
    </row>
    <row r="42" spans="11:17" ht="15">
      <c r="K42" s="28"/>
      <c r="L42" s="28"/>
      <c r="M42" s="28"/>
      <c r="N42" s="28"/>
      <c r="O42" s="28"/>
      <c r="P42" s="28"/>
      <c r="Q42" s="28"/>
    </row>
    <row r="44" spans="4:6" ht="15">
      <c r="D44" s="31"/>
      <c r="E44" s="31"/>
      <c r="F44" s="22"/>
    </row>
    <row r="46" spans="3:18" ht="15">
      <c r="C46" t="s">
        <v>134</v>
      </c>
      <c r="D46" s="42">
        <v>0.3</v>
      </c>
      <c r="E46" s="42">
        <v>0.4</v>
      </c>
      <c r="F46" s="42">
        <v>0.6</v>
      </c>
      <c r="G46" s="42">
        <v>0.8</v>
      </c>
      <c r="H46" s="42">
        <v>0.9</v>
      </c>
      <c r="I46" s="42">
        <v>1</v>
      </c>
      <c r="J46" s="42">
        <v>1</v>
      </c>
      <c r="K46" s="42">
        <v>1</v>
      </c>
      <c r="L46" s="42">
        <v>1</v>
      </c>
      <c r="M46" s="42">
        <v>1</v>
      </c>
      <c r="N46" s="42">
        <v>1</v>
      </c>
      <c r="O46" s="58">
        <v>1</v>
      </c>
      <c r="P46" s="59" t="s">
        <v>109</v>
      </c>
      <c r="Q46" s="109">
        <v>1.1</v>
      </c>
      <c r="R46" s="109">
        <v>1.21</v>
      </c>
    </row>
    <row r="47" spans="1:18" ht="15">
      <c r="A47" s="28"/>
      <c r="C47" s="61" t="s">
        <v>139</v>
      </c>
      <c r="D47" s="62">
        <v>1</v>
      </c>
      <c r="E47" s="62">
        <v>2</v>
      </c>
      <c r="F47" s="62">
        <v>3</v>
      </c>
      <c r="G47" s="62">
        <v>4</v>
      </c>
      <c r="H47" s="62">
        <v>5</v>
      </c>
      <c r="I47" s="62">
        <v>6</v>
      </c>
      <c r="J47" s="62">
        <v>7</v>
      </c>
      <c r="K47" s="62">
        <v>8</v>
      </c>
      <c r="L47" s="62">
        <v>9</v>
      </c>
      <c r="M47" s="62">
        <v>10</v>
      </c>
      <c r="N47" s="62">
        <v>11</v>
      </c>
      <c r="O47" s="63">
        <v>12</v>
      </c>
      <c r="P47" s="64" t="s">
        <v>110</v>
      </c>
      <c r="Q47" s="64" t="s">
        <v>111</v>
      </c>
      <c r="R47" s="64" t="s">
        <v>112</v>
      </c>
    </row>
    <row r="48" spans="1:18" ht="15">
      <c r="A48" s="28"/>
      <c r="C48" s="7" t="s">
        <v>113</v>
      </c>
      <c r="D48" s="8">
        <f aca="true" t="shared" si="2" ref="D48:O48">$D$3*D46</f>
        <v>1095</v>
      </c>
      <c r="E48" s="8">
        <f t="shared" si="2"/>
        <v>1460</v>
      </c>
      <c r="F48" s="8">
        <f t="shared" si="2"/>
        <v>2190</v>
      </c>
      <c r="G48" s="8">
        <f t="shared" si="2"/>
        <v>2920</v>
      </c>
      <c r="H48" s="8">
        <f t="shared" si="2"/>
        <v>3285</v>
      </c>
      <c r="I48" s="8">
        <f t="shared" si="2"/>
        <v>3650</v>
      </c>
      <c r="J48" s="8">
        <f t="shared" si="2"/>
        <v>3650</v>
      </c>
      <c r="K48" s="8">
        <f t="shared" si="2"/>
        <v>3650</v>
      </c>
      <c r="L48" s="8">
        <f t="shared" si="2"/>
        <v>3650</v>
      </c>
      <c r="M48" s="8">
        <f t="shared" si="2"/>
        <v>3650</v>
      </c>
      <c r="N48" s="8">
        <f t="shared" si="2"/>
        <v>3650</v>
      </c>
      <c r="O48" s="10">
        <f t="shared" si="2"/>
        <v>3650</v>
      </c>
      <c r="P48" s="31">
        <f>SUM(D48:O48)</f>
        <v>36500</v>
      </c>
      <c r="Q48" s="31">
        <f>E3*Q46</f>
        <v>48180.00000000001</v>
      </c>
      <c r="R48" s="31">
        <f>E3*R46</f>
        <v>52998</v>
      </c>
    </row>
    <row r="49" spans="1:18" ht="15">
      <c r="A49" s="28"/>
      <c r="C49" s="7" t="s">
        <v>114</v>
      </c>
      <c r="D49" s="8">
        <f>$D$18-$D$31</f>
        <v>146.06</v>
      </c>
      <c r="E49" s="8">
        <f aca="true" t="shared" si="3" ref="E49:O49">$D$18-$D$31</f>
        <v>146.06</v>
      </c>
      <c r="F49" s="8">
        <f t="shared" si="3"/>
        <v>146.06</v>
      </c>
      <c r="G49" s="8">
        <f t="shared" si="3"/>
        <v>146.06</v>
      </c>
      <c r="H49" s="8">
        <f t="shared" si="3"/>
        <v>146.06</v>
      </c>
      <c r="I49" s="8">
        <f t="shared" si="3"/>
        <v>146.06</v>
      </c>
      <c r="J49" s="8">
        <f t="shared" si="3"/>
        <v>146.06</v>
      </c>
      <c r="K49" s="8">
        <f t="shared" si="3"/>
        <v>146.06</v>
      </c>
      <c r="L49" s="8">
        <f t="shared" si="3"/>
        <v>146.06</v>
      </c>
      <c r="M49" s="8">
        <f t="shared" si="3"/>
        <v>146.06</v>
      </c>
      <c r="N49" s="8">
        <f t="shared" si="3"/>
        <v>146.06</v>
      </c>
      <c r="O49" s="10">
        <f t="shared" si="3"/>
        <v>146.06</v>
      </c>
      <c r="P49" s="31">
        <f aca="true" t="shared" si="4" ref="P49:P55">SUM(D49:O49)</f>
        <v>1752.7199999999996</v>
      </c>
      <c r="Q49" s="31">
        <f>E18-E31</f>
        <v>1752.7200000000003</v>
      </c>
      <c r="R49" s="31">
        <f>Q49</f>
        <v>1752.7200000000003</v>
      </c>
    </row>
    <row r="50" spans="1:18" ht="15">
      <c r="A50" s="28"/>
      <c r="C50" s="7" t="s">
        <v>115</v>
      </c>
      <c r="D50" s="8">
        <f aca="true" t="shared" si="5" ref="D50:O50">$D$6*D46</f>
        <v>749.6605882352941</v>
      </c>
      <c r="E50" s="8">
        <f t="shared" si="5"/>
        <v>999.5474509803922</v>
      </c>
      <c r="F50" s="8">
        <f t="shared" si="5"/>
        <v>1499.3211764705882</v>
      </c>
      <c r="G50" s="8">
        <f t="shared" si="5"/>
        <v>1999.0949019607845</v>
      </c>
      <c r="H50" s="8">
        <f t="shared" si="5"/>
        <v>2248.9817647058826</v>
      </c>
      <c r="I50" s="8">
        <f t="shared" si="5"/>
        <v>2498.8686274509805</v>
      </c>
      <c r="J50" s="8">
        <f t="shared" si="5"/>
        <v>2498.8686274509805</v>
      </c>
      <c r="K50" s="8">
        <f t="shared" si="5"/>
        <v>2498.8686274509805</v>
      </c>
      <c r="L50" s="8">
        <f t="shared" si="5"/>
        <v>2498.8686274509805</v>
      </c>
      <c r="M50" s="8">
        <f t="shared" si="5"/>
        <v>2498.8686274509805</v>
      </c>
      <c r="N50" s="8">
        <f t="shared" si="5"/>
        <v>2498.8686274509805</v>
      </c>
      <c r="O50" s="10">
        <f t="shared" si="5"/>
        <v>2498.8686274509805</v>
      </c>
      <c r="P50" s="31">
        <f t="shared" si="4"/>
        <v>24988.686274509808</v>
      </c>
      <c r="Q50" s="31">
        <f>E6*Q46</f>
        <v>32985.065882352945</v>
      </c>
      <c r="R50" s="31">
        <f>E6*R46</f>
        <v>36283.57247058824</v>
      </c>
    </row>
    <row r="51" spans="1:18" ht="15">
      <c r="A51" s="28"/>
      <c r="C51" s="7" t="s">
        <v>2</v>
      </c>
      <c r="D51" s="8">
        <f>IF($L$32="%",$D$32*D46,$D$32)</f>
        <v>0</v>
      </c>
      <c r="E51" s="8">
        <f aca="true" t="shared" si="6" ref="E51:O51">IF($L$32="%",$D$32*E46,$D$32)</f>
        <v>0</v>
      </c>
      <c r="F51" s="8">
        <f t="shared" si="6"/>
        <v>0</v>
      </c>
      <c r="G51" s="8">
        <f t="shared" si="6"/>
        <v>0</v>
      </c>
      <c r="H51" s="8">
        <f t="shared" si="6"/>
        <v>0</v>
      </c>
      <c r="I51" s="8">
        <f t="shared" si="6"/>
        <v>0</v>
      </c>
      <c r="J51" s="8">
        <f t="shared" si="6"/>
        <v>0</v>
      </c>
      <c r="K51" s="8">
        <f t="shared" si="6"/>
        <v>0</v>
      </c>
      <c r="L51" s="8">
        <f t="shared" si="6"/>
        <v>0</v>
      </c>
      <c r="M51" s="8">
        <f t="shared" si="6"/>
        <v>0</v>
      </c>
      <c r="N51" s="8">
        <f t="shared" si="6"/>
        <v>0</v>
      </c>
      <c r="O51" s="10">
        <f t="shared" si="6"/>
        <v>0</v>
      </c>
      <c r="P51" s="31">
        <f t="shared" si="4"/>
        <v>0</v>
      </c>
      <c r="Q51" s="31">
        <f>E32</f>
        <v>0</v>
      </c>
      <c r="R51" s="31">
        <f>Q51</f>
        <v>0</v>
      </c>
    </row>
    <row r="52" spans="1:18" ht="15">
      <c r="A52" s="28"/>
      <c r="C52" s="7" t="s">
        <v>116</v>
      </c>
      <c r="D52" s="8">
        <f>IF($L$33="%",$D$33*D46,$D$33)</f>
        <v>40</v>
      </c>
      <c r="E52" s="8">
        <f aca="true" t="shared" si="7" ref="E52:O52">IF($L$33="%",$D$33*E46,$D$33)</f>
        <v>40</v>
      </c>
      <c r="F52" s="8">
        <f t="shared" si="7"/>
        <v>40</v>
      </c>
      <c r="G52" s="8">
        <f t="shared" si="7"/>
        <v>40</v>
      </c>
      <c r="H52" s="8">
        <f t="shared" si="7"/>
        <v>40</v>
      </c>
      <c r="I52" s="8">
        <f t="shared" si="7"/>
        <v>40</v>
      </c>
      <c r="J52" s="8">
        <f t="shared" si="7"/>
        <v>40</v>
      </c>
      <c r="K52" s="8">
        <f t="shared" si="7"/>
        <v>40</v>
      </c>
      <c r="L52" s="8">
        <f t="shared" si="7"/>
        <v>40</v>
      </c>
      <c r="M52" s="8">
        <f t="shared" si="7"/>
        <v>40</v>
      </c>
      <c r="N52" s="8">
        <f t="shared" si="7"/>
        <v>40</v>
      </c>
      <c r="O52" s="10">
        <f t="shared" si="7"/>
        <v>40</v>
      </c>
      <c r="P52" s="31">
        <f t="shared" si="4"/>
        <v>480</v>
      </c>
      <c r="Q52" s="31">
        <f>E33</f>
        <v>480</v>
      </c>
      <c r="R52" s="31">
        <f>Q52</f>
        <v>480</v>
      </c>
    </row>
    <row r="53" spans="1:18" ht="15">
      <c r="A53" s="28"/>
      <c r="C53" s="7" t="s">
        <v>117</v>
      </c>
      <c r="D53" s="8">
        <f>$D$35</f>
        <v>0</v>
      </c>
      <c r="E53" s="8">
        <f aca="true" t="shared" si="8" ref="E53:O53">$D$35</f>
        <v>0</v>
      </c>
      <c r="F53" s="8">
        <f t="shared" si="8"/>
        <v>0</v>
      </c>
      <c r="G53" s="8">
        <f t="shared" si="8"/>
        <v>0</v>
      </c>
      <c r="H53" s="8">
        <f t="shared" si="8"/>
        <v>0</v>
      </c>
      <c r="I53" s="8">
        <f t="shared" si="8"/>
        <v>0</v>
      </c>
      <c r="J53" s="8">
        <f t="shared" si="8"/>
        <v>0</v>
      </c>
      <c r="K53" s="8">
        <f t="shared" si="8"/>
        <v>0</v>
      </c>
      <c r="L53" s="8">
        <f t="shared" si="8"/>
        <v>0</v>
      </c>
      <c r="M53" s="8">
        <f t="shared" si="8"/>
        <v>0</v>
      </c>
      <c r="N53" s="8">
        <f t="shared" si="8"/>
        <v>0</v>
      </c>
      <c r="O53" s="10">
        <f t="shared" si="8"/>
        <v>0</v>
      </c>
      <c r="P53" s="31">
        <f t="shared" si="4"/>
        <v>0</v>
      </c>
      <c r="Q53" s="31">
        <f>E35</f>
        <v>0</v>
      </c>
      <c r="R53" s="31">
        <f>Q53</f>
        <v>0</v>
      </c>
    </row>
    <row r="54" spans="1:18" ht="15">
      <c r="A54" s="28"/>
      <c r="C54" s="7" t="s">
        <v>118</v>
      </c>
      <c r="D54" s="30">
        <f>D48-D49-D50-D51-D52-D53</f>
        <v>159.27941176470597</v>
      </c>
      <c r="E54" s="30">
        <f>E48-E49-E50-E51-E52-E53</f>
        <v>274.3925490196078</v>
      </c>
      <c r="F54" s="30">
        <f aca="true" t="shared" si="9" ref="F54:Q54">F48-F49-F50-F51-F52-F53</f>
        <v>504.6188235294119</v>
      </c>
      <c r="G54" s="30">
        <f t="shared" si="9"/>
        <v>734.8450980392156</v>
      </c>
      <c r="H54" s="30">
        <f t="shared" si="9"/>
        <v>849.9582352941175</v>
      </c>
      <c r="I54" s="30">
        <f t="shared" si="9"/>
        <v>965.0713725490195</v>
      </c>
      <c r="J54" s="30">
        <f t="shared" si="9"/>
        <v>965.0713725490195</v>
      </c>
      <c r="K54" s="30">
        <f t="shared" si="9"/>
        <v>965.0713725490195</v>
      </c>
      <c r="L54" s="30">
        <f t="shared" si="9"/>
        <v>965.0713725490195</v>
      </c>
      <c r="M54" s="30">
        <f t="shared" si="9"/>
        <v>965.0713725490195</v>
      </c>
      <c r="N54" s="30">
        <f t="shared" si="9"/>
        <v>965.0713725490195</v>
      </c>
      <c r="O54" s="10">
        <f t="shared" si="9"/>
        <v>965.0713725490195</v>
      </c>
      <c r="P54" s="8">
        <f>P48-P49-P50-P51-P52-P53</f>
        <v>9278.593725490191</v>
      </c>
      <c r="Q54" s="30">
        <f t="shared" si="9"/>
        <v>12962.214117647061</v>
      </c>
      <c r="R54" s="30">
        <f>R48-R49-R50-R51-R52-R53</f>
        <v>14481.70752941176</v>
      </c>
    </row>
    <row r="55" spans="1:18" ht="15">
      <c r="A55" s="28"/>
      <c r="C55" s="5" t="s">
        <v>82</v>
      </c>
      <c r="D55" s="66">
        <f>1%*D48</f>
        <v>10.950000000000001</v>
      </c>
      <c r="E55" s="66">
        <f>1%*E48</f>
        <v>14.6</v>
      </c>
      <c r="F55" s="66">
        <f>1%*F48</f>
        <v>21.900000000000002</v>
      </c>
      <c r="G55" s="66">
        <f aca="true" t="shared" si="10" ref="E55:O55">MAX(1%*G48,15%*G54)</f>
        <v>110.22676470588233</v>
      </c>
      <c r="H55" s="66">
        <f t="shared" si="10"/>
        <v>127.49373529411761</v>
      </c>
      <c r="I55" s="66">
        <f t="shared" si="10"/>
        <v>144.76070588235294</v>
      </c>
      <c r="J55" s="66">
        <f t="shared" si="10"/>
        <v>144.76070588235294</v>
      </c>
      <c r="K55" s="66">
        <f t="shared" si="10"/>
        <v>144.76070588235294</v>
      </c>
      <c r="L55" s="66">
        <f t="shared" si="10"/>
        <v>144.76070588235294</v>
      </c>
      <c r="M55" s="66">
        <f t="shared" si="10"/>
        <v>144.76070588235294</v>
      </c>
      <c r="N55" s="66">
        <f t="shared" si="10"/>
        <v>144.76070588235294</v>
      </c>
      <c r="O55" s="67">
        <f t="shared" si="10"/>
        <v>144.76070588235294</v>
      </c>
      <c r="P55" s="110">
        <f t="shared" si="4"/>
        <v>1298.4954411764704</v>
      </c>
      <c r="Q55" s="66">
        <v>21</v>
      </c>
      <c r="R55" s="110">
        <v>21</v>
      </c>
    </row>
    <row r="56" spans="1:18" ht="15">
      <c r="A56" s="28"/>
      <c r="C56" s="68" t="s">
        <v>119</v>
      </c>
      <c r="D56" s="45">
        <f>D54-D55</f>
        <v>148.32941176470598</v>
      </c>
      <c r="E56" s="45">
        <f aca="true" t="shared" si="11" ref="E56:R56">E54-E55</f>
        <v>259.7925490196078</v>
      </c>
      <c r="F56" s="45">
        <f t="shared" si="11"/>
        <v>482.7188235294119</v>
      </c>
      <c r="G56" s="45">
        <f t="shared" si="11"/>
        <v>624.6183333333332</v>
      </c>
      <c r="H56" s="45">
        <f t="shared" si="11"/>
        <v>722.4644999999998</v>
      </c>
      <c r="I56" s="45">
        <f t="shared" si="11"/>
        <v>820.3106666666666</v>
      </c>
      <c r="J56" s="45">
        <f t="shared" si="11"/>
        <v>820.3106666666666</v>
      </c>
      <c r="K56" s="45">
        <f t="shared" si="11"/>
        <v>820.3106666666666</v>
      </c>
      <c r="L56" s="45">
        <f t="shared" si="11"/>
        <v>820.3106666666666</v>
      </c>
      <c r="M56" s="45">
        <f t="shared" si="11"/>
        <v>820.3106666666666</v>
      </c>
      <c r="N56" s="45">
        <f t="shared" si="11"/>
        <v>820.3106666666666</v>
      </c>
      <c r="O56" s="69">
        <f t="shared" si="11"/>
        <v>820.3106666666666</v>
      </c>
      <c r="P56" s="45">
        <f t="shared" si="11"/>
        <v>7980.098284313721</v>
      </c>
      <c r="Q56" s="93">
        <f t="shared" si="11"/>
        <v>12941.214117647061</v>
      </c>
      <c r="R56" s="93">
        <f t="shared" si="11"/>
        <v>14460.70752941176</v>
      </c>
    </row>
    <row r="57" spans="1:17" ht="15">
      <c r="A57" s="28"/>
      <c r="D57" s="8"/>
      <c r="E57" s="8"/>
      <c r="F57" s="8"/>
      <c r="H57" s="8">
        <f>D67-SUM(D56:H56)</f>
        <v>1625.4363823529416</v>
      </c>
      <c r="I57" s="108">
        <f>H57/I56</f>
        <v>1.9814887802908918</v>
      </c>
      <c r="Q57" s="83"/>
    </row>
    <row r="58" spans="1:18" ht="15">
      <c r="A58" s="28"/>
      <c r="C58" s="61" t="s">
        <v>96</v>
      </c>
      <c r="D58" s="62">
        <v>1</v>
      </c>
      <c r="E58" s="62">
        <v>2</v>
      </c>
      <c r="F58" s="62">
        <v>3</v>
      </c>
      <c r="G58" s="62">
        <v>4</v>
      </c>
      <c r="H58" s="62">
        <v>5</v>
      </c>
      <c r="I58" s="62">
        <v>6</v>
      </c>
      <c r="J58" s="62">
        <v>7</v>
      </c>
      <c r="K58" s="62">
        <v>8</v>
      </c>
      <c r="L58" s="62">
        <v>9</v>
      </c>
      <c r="M58" s="62">
        <v>10</v>
      </c>
      <c r="N58" s="62">
        <v>11</v>
      </c>
      <c r="O58" s="63">
        <v>12</v>
      </c>
      <c r="P58" s="64" t="s">
        <v>110</v>
      </c>
      <c r="Q58" s="64" t="s">
        <v>111</v>
      </c>
      <c r="R58" s="64" t="s">
        <v>112</v>
      </c>
    </row>
    <row r="59" spans="1:18" ht="15">
      <c r="A59" s="28"/>
      <c r="C59" t="s">
        <v>97</v>
      </c>
      <c r="D59" s="8">
        <f>Общ!C4</f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 s="7">
        <v>0</v>
      </c>
      <c r="P59" s="8">
        <f>SUM(D59:O59)</f>
        <v>0</v>
      </c>
      <c r="Q59">
        <v>0</v>
      </c>
      <c r="R59">
        <v>0</v>
      </c>
    </row>
    <row r="60" spans="3:18" ht="15">
      <c r="C60" t="s">
        <v>170</v>
      </c>
      <c r="D60" s="8">
        <v>3500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 s="7">
        <v>0</v>
      </c>
      <c r="P60" s="8">
        <f aca="true" t="shared" si="12" ref="P60:P67">SUM(D60:O60)</f>
        <v>3500</v>
      </c>
      <c r="Q60">
        <v>0</v>
      </c>
      <c r="R60">
        <v>0</v>
      </c>
    </row>
    <row r="61" spans="3:18" ht="15">
      <c r="C61" t="s">
        <v>171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 s="7">
        <v>0</v>
      </c>
      <c r="P61" s="8">
        <f t="shared" si="12"/>
        <v>0</v>
      </c>
      <c r="Q61">
        <v>0</v>
      </c>
      <c r="R61">
        <v>0</v>
      </c>
    </row>
    <row r="62" spans="3:18" ht="15">
      <c r="C62" t="s">
        <v>172</v>
      </c>
      <c r="D62" s="8">
        <f>SUM(D63:D65)</f>
        <v>363.36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 s="7">
        <v>0</v>
      </c>
      <c r="P62" s="8">
        <f t="shared" si="12"/>
        <v>363.36</v>
      </c>
      <c r="Q62">
        <v>0</v>
      </c>
      <c r="R62">
        <v>0</v>
      </c>
    </row>
    <row r="63" spans="3:18" ht="15">
      <c r="C63" s="105" t="s">
        <v>173</v>
      </c>
      <c r="D63" s="106">
        <f>D23</f>
        <v>100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 s="7">
        <v>0</v>
      </c>
      <c r="P63" s="8">
        <f t="shared" si="12"/>
        <v>100</v>
      </c>
      <c r="Q63">
        <v>0</v>
      </c>
      <c r="R63">
        <v>0</v>
      </c>
    </row>
    <row r="64" spans="3:18" ht="15">
      <c r="C64" s="105" t="s">
        <v>174</v>
      </c>
      <c r="D64" s="106">
        <f>D23</f>
        <v>100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 s="7">
        <v>0</v>
      </c>
      <c r="P64" s="8">
        <f t="shared" si="12"/>
        <v>100</v>
      </c>
      <c r="Q64">
        <v>0</v>
      </c>
      <c r="R64">
        <v>0</v>
      </c>
    </row>
    <row r="65" spans="3:18" ht="15">
      <c r="C65" s="105" t="s">
        <v>175</v>
      </c>
      <c r="D65" s="107">
        <f>D15+D16+D19+D24+D31</f>
        <v>163.36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 s="7">
        <v>0</v>
      </c>
      <c r="P65" s="8">
        <f t="shared" si="12"/>
        <v>163.36</v>
      </c>
      <c r="Q65">
        <v>0</v>
      </c>
      <c r="R65">
        <v>0</v>
      </c>
    </row>
    <row r="66" spans="4:18" ht="15">
      <c r="D66" s="83"/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 s="7">
        <v>0</v>
      </c>
      <c r="P66" s="8">
        <f t="shared" si="12"/>
        <v>0</v>
      </c>
      <c r="Q66">
        <v>0</v>
      </c>
      <c r="R66">
        <v>0</v>
      </c>
    </row>
    <row r="67" spans="3:18" ht="15">
      <c r="C67" s="44" t="s">
        <v>109</v>
      </c>
      <c r="D67" s="45">
        <f>D59+D60+D61+D62</f>
        <v>3863.36</v>
      </c>
      <c r="E67" s="45">
        <f aca="true" t="shared" si="13" ref="E67:O67">SUM(E59:E66)</f>
        <v>0</v>
      </c>
      <c r="F67" s="45">
        <f t="shared" si="13"/>
        <v>0</v>
      </c>
      <c r="G67" s="45">
        <f t="shared" si="13"/>
        <v>0</v>
      </c>
      <c r="H67" s="45">
        <f t="shared" si="13"/>
        <v>0</v>
      </c>
      <c r="I67" s="45">
        <f t="shared" si="13"/>
        <v>0</v>
      </c>
      <c r="J67" s="45">
        <f t="shared" si="13"/>
        <v>0</v>
      </c>
      <c r="K67" s="45">
        <f t="shared" si="13"/>
        <v>0</v>
      </c>
      <c r="L67" s="45">
        <f t="shared" si="13"/>
        <v>0</v>
      </c>
      <c r="M67" s="45">
        <f t="shared" si="13"/>
        <v>0</v>
      </c>
      <c r="N67" s="45">
        <f t="shared" si="13"/>
        <v>0</v>
      </c>
      <c r="O67" s="69">
        <f t="shared" si="13"/>
        <v>0</v>
      </c>
      <c r="P67" s="45">
        <f t="shared" si="12"/>
        <v>3863.36</v>
      </c>
      <c r="Q67" s="45">
        <f>SUM(Q59:Q66)</f>
        <v>0</v>
      </c>
      <c r="R67" s="45">
        <f>SUM(R59:R66)</f>
        <v>0</v>
      </c>
    </row>
    <row r="69" spans="1:18" ht="15">
      <c r="A69" s="28"/>
      <c r="B69" s="28"/>
      <c r="C69" s="60"/>
      <c r="D69" s="61"/>
      <c r="E69" s="61"/>
      <c r="F69" s="61"/>
      <c r="G69" s="61"/>
      <c r="H69" s="61" t="s">
        <v>120</v>
      </c>
      <c r="I69" s="60"/>
      <c r="J69" s="60"/>
      <c r="K69" s="72">
        <f>P56/D67</f>
        <v>2.0655849530754886</v>
      </c>
      <c r="L69" s="60"/>
      <c r="M69" s="61" t="s">
        <v>94</v>
      </c>
      <c r="N69" s="60"/>
      <c r="O69" s="73">
        <f>IF(P56&gt;0,IF(D67*12/P56&gt;=12,(D67-P56)/D42+12,D67*12/P56),D67/D42+12)</f>
        <v>5.809492358149187</v>
      </c>
      <c r="P69" s="61" t="s">
        <v>45</v>
      </c>
      <c r="Q69" s="73">
        <f>O69/12</f>
        <v>0.48412436317909896</v>
      </c>
      <c r="R69" s="61" t="s">
        <v>121</v>
      </c>
    </row>
    <row r="71" spans="4:15" ht="15">
      <c r="D71">
        <v>1</v>
      </c>
      <c r="E71">
        <v>2</v>
      </c>
      <c r="F71">
        <v>3</v>
      </c>
      <c r="G71">
        <v>4</v>
      </c>
      <c r="H71">
        <v>5</v>
      </c>
      <c r="I71">
        <v>6</v>
      </c>
      <c r="J71">
        <v>7</v>
      </c>
      <c r="K71">
        <v>8</v>
      </c>
      <c r="L71">
        <v>9</v>
      </c>
      <c r="M71">
        <v>10</v>
      </c>
      <c r="N71">
        <v>11</v>
      </c>
      <c r="O71">
        <v>12</v>
      </c>
    </row>
    <row r="72" spans="3:15" ht="15">
      <c r="C72" t="s">
        <v>184</v>
      </c>
      <c r="D72" s="8">
        <f>D56</f>
        <v>148.32941176470598</v>
      </c>
      <c r="E72" s="8">
        <f>D72+E56</f>
        <v>408.1219607843138</v>
      </c>
      <c r="F72" s="8">
        <f aca="true" t="shared" si="14" ref="F72:O72">E72+F56</f>
        <v>890.8407843137256</v>
      </c>
      <c r="G72" s="8">
        <f t="shared" si="14"/>
        <v>1515.459117647059</v>
      </c>
      <c r="H72" s="8">
        <f t="shared" si="14"/>
        <v>2237.9236176470586</v>
      </c>
      <c r="I72" s="8">
        <f t="shared" si="14"/>
        <v>3058.2342843137253</v>
      </c>
      <c r="J72" s="8">
        <f t="shared" si="14"/>
        <v>3878.544950980392</v>
      </c>
      <c r="K72" s="8">
        <f t="shared" si="14"/>
        <v>4698.855617647058</v>
      </c>
      <c r="L72" s="8">
        <f t="shared" si="14"/>
        <v>5519.166284313725</v>
      </c>
      <c r="M72" s="8">
        <f t="shared" si="14"/>
        <v>6339.476950980391</v>
      </c>
      <c r="N72" s="8">
        <f t="shared" si="14"/>
        <v>7159.787617647057</v>
      </c>
      <c r="O72" s="8">
        <f t="shared" si="14"/>
        <v>7980.0982843137235</v>
      </c>
    </row>
    <row r="73" spans="3:15" ht="15">
      <c r="C73" t="s">
        <v>185</v>
      </c>
      <c r="D73" s="8">
        <f>$D$67</f>
        <v>3863.36</v>
      </c>
      <c r="E73" s="8">
        <f aca="true" t="shared" si="15" ref="E73:O73">$D$67</f>
        <v>3863.36</v>
      </c>
      <c r="F73" s="8">
        <f t="shared" si="15"/>
        <v>3863.36</v>
      </c>
      <c r="G73" s="8">
        <f t="shared" si="15"/>
        <v>3863.36</v>
      </c>
      <c r="H73" s="8">
        <f t="shared" si="15"/>
        <v>3863.36</v>
      </c>
      <c r="I73" s="8">
        <f t="shared" si="15"/>
        <v>3863.36</v>
      </c>
      <c r="J73" s="8">
        <f t="shared" si="15"/>
        <v>3863.36</v>
      </c>
      <c r="K73" s="8">
        <f t="shared" si="15"/>
        <v>3863.36</v>
      </c>
      <c r="L73" s="8">
        <f t="shared" si="15"/>
        <v>3863.36</v>
      </c>
      <c r="M73" s="8">
        <f t="shared" si="15"/>
        <v>3863.36</v>
      </c>
      <c r="N73" s="8">
        <f t="shared" si="15"/>
        <v>3863.36</v>
      </c>
      <c r="O73" s="8">
        <f t="shared" si="15"/>
        <v>3863.36</v>
      </c>
    </row>
    <row r="96" spans="3:16" ht="15">
      <c r="C96" s="112" t="s">
        <v>189</v>
      </c>
      <c r="D96" s="2">
        <v>1</v>
      </c>
      <c r="E96" s="2">
        <v>2</v>
      </c>
      <c r="F96" s="2">
        <v>3</v>
      </c>
      <c r="G96" s="2">
        <v>4</v>
      </c>
      <c r="H96" s="2">
        <v>5</v>
      </c>
      <c r="I96" s="2">
        <v>6</v>
      </c>
      <c r="J96" s="2">
        <v>7</v>
      </c>
      <c r="K96" s="2">
        <v>8</v>
      </c>
      <c r="L96" s="2">
        <v>9</v>
      </c>
      <c r="M96" s="2">
        <v>10</v>
      </c>
      <c r="N96" s="2">
        <v>11</v>
      </c>
      <c r="O96" s="2">
        <v>12</v>
      </c>
      <c r="P96" s="113" t="s">
        <v>109</v>
      </c>
    </row>
    <row r="97" spans="3:16" ht="15">
      <c r="C97" s="7" t="s">
        <v>187</v>
      </c>
      <c r="D97">
        <v>0</v>
      </c>
      <c r="E97" s="8">
        <f>D100</f>
        <v>2774.0150000000003</v>
      </c>
      <c r="F97" s="8">
        <f aca="true" t="shared" si="16" ref="F97:O97">E100</f>
        <v>1806.0350000000003</v>
      </c>
      <c r="G97" s="8">
        <f t="shared" si="16"/>
        <v>854.0650000000005</v>
      </c>
      <c r="H97" s="8">
        <f t="shared" si="16"/>
        <v>918.1050000000007</v>
      </c>
      <c r="I97" s="8">
        <f t="shared" si="16"/>
        <v>740.1500000000005</v>
      </c>
      <c r="J97" s="8">
        <f t="shared" si="16"/>
        <v>820.2000000000007</v>
      </c>
      <c r="K97" s="8">
        <f t="shared" si="16"/>
        <v>900.2500000000009</v>
      </c>
      <c r="L97" s="8">
        <f t="shared" si="16"/>
        <v>980.3000000000011</v>
      </c>
      <c r="M97" s="8">
        <f t="shared" si="16"/>
        <v>1060.3500000000013</v>
      </c>
      <c r="N97" s="8">
        <f t="shared" si="16"/>
        <v>1140.4000000000015</v>
      </c>
      <c r="O97" s="8">
        <f t="shared" si="16"/>
        <v>1220.4500000000016</v>
      </c>
      <c r="P97" s="114">
        <f>D97</f>
        <v>0</v>
      </c>
    </row>
    <row r="98" spans="3:16" ht="15">
      <c r="C98" s="115" t="s">
        <v>122</v>
      </c>
      <c r="D98" s="106">
        <v>3500</v>
      </c>
      <c r="E98" s="106">
        <v>0</v>
      </c>
      <c r="F98" s="106">
        <v>500</v>
      </c>
      <c r="G98" s="106">
        <v>2000</v>
      </c>
      <c r="H98" s="106">
        <v>2000</v>
      </c>
      <c r="I98" s="106">
        <v>2500</v>
      </c>
      <c r="J98" s="106">
        <v>2500</v>
      </c>
      <c r="K98" s="106">
        <v>2500</v>
      </c>
      <c r="L98" s="106">
        <v>2500</v>
      </c>
      <c r="M98" s="106">
        <v>2500</v>
      </c>
      <c r="N98" s="106">
        <v>2500</v>
      </c>
      <c r="O98" s="106">
        <v>2500</v>
      </c>
      <c r="P98" s="116">
        <f>SUM(D98:O98)</f>
        <v>25500</v>
      </c>
    </row>
    <row r="99" spans="3:16" ht="15">
      <c r="C99" s="7" t="s">
        <v>186</v>
      </c>
      <c r="D99" s="111">
        <f>66.3%*D48</f>
        <v>725.9849999999999</v>
      </c>
      <c r="E99" s="111">
        <f>66.3%*E48</f>
        <v>967.9799999999999</v>
      </c>
      <c r="F99" s="111">
        <f aca="true" t="shared" si="17" ref="F99:O99">66.3%*F48</f>
        <v>1451.9699999999998</v>
      </c>
      <c r="G99" s="111">
        <f t="shared" si="17"/>
        <v>1935.9599999999998</v>
      </c>
      <c r="H99" s="111">
        <f t="shared" si="17"/>
        <v>2177.955</v>
      </c>
      <c r="I99" s="111">
        <f t="shared" si="17"/>
        <v>2419.95</v>
      </c>
      <c r="J99" s="111">
        <f t="shared" si="17"/>
        <v>2419.95</v>
      </c>
      <c r="K99" s="111">
        <f t="shared" si="17"/>
        <v>2419.95</v>
      </c>
      <c r="L99" s="111">
        <f t="shared" si="17"/>
        <v>2419.95</v>
      </c>
      <c r="M99" s="111">
        <f t="shared" si="17"/>
        <v>2419.95</v>
      </c>
      <c r="N99" s="111">
        <f t="shared" si="17"/>
        <v>2419.95</v>
      </c>
      <c r="O99" s="111">
        <f t="shared" si="17"/>
        <v>2419.95</v>
      </c>
      <c r="P99" s="114">
        <f>SUM(D99:O99)</f>
        <v>24199.500000000004</v>
      </c>
    </row>
    <row r="100" spans="3:16" ht="15">
      <c r="C100" s="7" t="s">
        <v>188</v>
      </c>
      <c r="D100" s="8">
        <f>D97+D98-D99</f>
        <v>2774.0150000000003</v>
      </c>
      <c r="E100" s="8">
        <f>E97+E98-E99</f>
        <v>1806.0350000000003</v>
      </c>
      <c r="F100" s="8">
        <f aca="true" t="shared" si="18" ref="F100:P100">F97+F98-F99</f>
        <v>854.0650000000005</v>
      </c>
      <c r="G100" s="8">
        <f t="shared" si="18"/>
        <v>918.1050000000007</v>
      </c>
      <c r="H100" s="8">
        <f t="shared" si="18"/>
        <v>740.1500000000005</v>
      </c>
      <c r="I100" s="8">
        <f t="shared" si="18"/>
        <v>820.2000000000007</v>
      </c>
      <c r="J100" s="8">
        <f t="shared" si="18"/>
        <v>900.2500000000009</v>
      </c>
      <c r="K100" s="8">
        <f t="shared" si="18"/>
        <v>980.3000000000011</v>
      </c>
      <c r="L100" s="8">
        <f t="shared" si="18"/>
        <v>1060.3500000000013</v>
      </c>
      <c r="M100" s="8">
        <f t="shared" si="18"/>
        <v>1140.4000000000015</v>
      </c>
      <c r="N100" s="8">
        <f t="shared" si="18"/>
        <v>1220.4500000000016</v>
      </c>
      <c r="O100" s="8">
        <f>O97+O98-O99</f>
        <v>1300.5000000000018</v>
      </c>
      <c r="P100" s="114">
        <f t="shared" si="18"/>
        <v>1300.4999999999964</v>
      </c>
    </row>
  </sheetData>
  <sheetProtection/>
  <printOptions/>
  <pageMargins left="0.75" right="0.75" top="1" bottom="1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AlteraSPB-11</cp:lastModifiedBy>
  <dcterms:created xsi:type="dcterms:W3CDTF">2015-09-20T12:30:14Z</dcterms:created>
  <dcterms:modified xsi:type="dcterms:W3CDTF">2016-07-18T08:31:55Z</dcterms:modified>
  <cp:category/>
  <cp:version/>
  <cp:contentType/>
  <cp:contentStatus/>
</cp:coreProperties>
</file>