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155" activeTab="2"/>
  </bookViews>
  <sheets>
    <sheet name="Предположения" sheetId="1" r:id="rId1"/>
    <sheet name="БДДС" sheetId="2" r:id="rId2"/>
    <sheet name="БДР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/>
  <c r="F19" i="3" s="1"/>
  <c r="D46" i="1"/>
  <c r="D54"/>
  <c r="E19" i="3"/>
  <c r="E27" i="2"/>
  <c r="D64" i="1"/>
  <c r="C32" i="2" l="1"/>
  <c r="D22" l="1"/>
  <c r="C22"/>
  <c r="F5" i="3"/>
  <c r="E5"/>
  <c r="E6" s="1"/>
  <c r="D5"/>
  <c r="D6" s="1"/>
  <c r="C5"/>
  <c r="D27" i="2"/>
  <c r="D19" i="3" s="1"/>
  <c r="D51" i="1"/>
  <c r="D50"/>
  <c r="D49"/>
  <c r="E25" i="2"/>
  <c r="D25"/>
  <c r="F14"/>
  <c r="E14"/>
  <c r="D14"/>
  <c r="C14"/>
  <c r="G5" i="3" l="1"/>
  <c r="H5" s="1"/>
  <c r="I5" s="1"/>
  <c r="J5" s="1"/>
  <c r="K5" s="1"/>
  <c r="L5" s="1"/>
  <c r="M5" s="1"/>
  <c r="N5" s="1"/>
  <c r="N6" s="1"/>
  <c r="F6"/>
  <c r="C15"/>
  <c r="O21"/>
  <c r="D30" i="1"/>
  <c r="K6" i="3" l="1"/>
  <c r="M6"/>
  <c r="G6"/>
  <c r="J6"/>
  <c r="L6"/>
  <c r="H6"/>
  <c r="I6"/>
  <c r="O38" i="2"/>
  <c r="O34"/>
  <c r="O32"/>
  <c r="O3"/>
  <c r="D13" i="3"/>
  <c r="C14"/>
  <c r="C13"/>
  <c r="N35" i="2"/>
  <c r="J35"/>
  <c r="K35"/>
  <c r="L35"/>
  <c r="M35"/>
  <c r="D21"/>
  <c r="D14" i="3" s="1"/>
  <c r="E20" i="2"/>
  <c r="E13" i="3" s="1"/>
  <c r="C42" i="2"/>
  <c r="O42" s="1"/>
  <c r="F20" l="1"/>
  <c r="E21"/>
  <c r="J23" i="3"/>
  <c r="K23"/>
  <c r="L23"/>
  <c r="M23"/>
  <c r="N23"/>
  <c r="C23"/>
  <c r="G14" i="2"/>
  <c r="H14" s="1"/>
  <c r="H13" s="1"/>
  <c r="E13"/>
  <c r="D13"/>
  <c r="C25"/>
  <c r="C27"/>
  <c r="C19" i="3" s="1"/>
  <c r="M33" i="2"/>
  <c r="N33"/>
  <c r="E35"/>
  <c r="E33" s="1"/>
  <c r="F35"/>
  <c r="F33" s="1"/>
  <c r="G35"/>
  <c r="G33" s="1"/>
  <c r="H35"/>
  <c r="H33" s="1"/>
  <c r="I35"/>
  <c r="I33" s="1"/>
  <c r="J33"/>
  <c r="K33"/>
  <c r="L33"/>
  <c r="D35"/>
  <c r="C19"/>
  <c r="C24"/>
  <c r="C17" i="3" s="1"/>
  <c r="C23" i="2"/>
  <c r="C16" i="3" s="1"/>
  <c r="C41" i="2"/>
  <c r="O41" s="1"/>
  <c r="D31"/>
  <c r="E31"/>
  <c r="F31"/>
  <c r="G31"/>
  <c r="H31"/>
  <c r="I31"/>
  <c r="J31"/>
  <c r="K31"/>
  <c r="L31"/>
  <c r="M31"/>
  <c r="N31"/>
  <c r="D39"/>
  <c r="D43" s="1"/>
  <c r="D7" s="1"/>
  <c r="E39"/>
  <c r="E43" s="1"/>
  <c r="E7" s="1"/>
  <c r="F39"/>
  <c r="F43" s="1"/>
  <c r="F7" s="1"/>
  <c r="G39"/>
  <c r="H39"/>
  <c r="H43" s="1"/>
  <c r="H7" s="1"/>
  <c r="I39"/>
  <c r="I43" s="1"/>
  <c r="I7" s="1"/>
  <c r="J39"/>
  <c r="J43" s="1"/>
  <c r="J7" s="1"/>
  <c r="K39"/>
  <c r="K43" s="1"/>
  <c r="K7" s="1"/>
  <c r="L39"/>
  <c r="L43" s="1"/>
  <c r="L7" s="1"/>
  <c r="M39"/>
  <c r="M43" s="1"/>
  <c r="M7" s="1"/>
  <c r="N39"/>
  <c r="N43" s="1"/>
  <c r="N7" s="1"/>
  <c r="G43"/>
  <c r="G7" s="1"/>
  <c r="C33"/>
  <c r="C31"/>
  <c r="C40"/>
  <c r="D34" i="1"/>
  <c r="D28"/>
  <c r="C17" i="2" l="1"/>
  <c r="D17" s="1"/>
  <c r="D18" s="1"/>
  <c r="C10" i="3"/>
  <c r="O31" i="2"/>
  <c r="D26"/>
  <c r="D18" i="3" s="1"/>
  <c r="E26" i="2"/>
  <c r="E18" i="3" s="1"/>
  <c r="G27" i="2"/>
  <c r="G19" i="3" s="1"/>
  <c r="D19" i="2"/>
  <c r="E19" s="1"/>
  <c r="F19" s="1"/>
  <c r="G19" s="1"/>
  <c r="H19" s="1"/>
  <c r="I19" s="1"/>
  <c r="J19" s="1"/>
  <c r="K19" s="1"/>
  <c r="L19" s="1"/>
  <c r="M19" s="1"/>
  <c r="N19" s="1"/>
  <c r="C13"/>
  <c r="F21"/>
  <c r="E14" i="3"/>
  <c r="D24" i="2"/>
  <c r="O40"/>
  <c r="C39"/>
  <c r="O39" s="1"/>
  <c r="D33"/>
  <c r="O33" s="1"/>
  <c r="O35"/>
  <c r="D23"/>
  <c r="G20"/>
  <c r="F13" i="3"/>
  <c r="F13" i="2"/>
  <c r="F25"/>
  <c r="G25" s="1"/>
  <c r="H25" s="1"/>
  <c r="I25" s="1"/>
  <c r="J25" s="1"/>
  <c r="K25" s="1"/>
  <c r="L25" s="1"/>
  <c r="M25" s="1"/>
  <c r="N25" s="1"/>
  <c r="F7" i="3"/>
  <c r="D7"/>
  <c r="C25"/>
  <c r="H23"/>
  <c r="D23"/>
  <c r="G23"/>
  <c r="F23"/>
  <c r="I23"/>
  <c r="E23"/>
  <c r="I36" i="2"/>
  <c r="I6" s="1"/>
  <c r="E36"/>
  <c r="E6" s="1"/>
  <c r="G13"/>
  <c r="L36"/>
  <c r="L6" s="1"/>
  <c r="H36"/>
  <c r="H6" s="1"/>
  <c r="M36"/>
  <c r="M6" s="1"/>
  <c r="C36"/>
  <c r="C6" s="1"/>
  <c r="D29" i="1"/>
  <c r="C26" i="2"/>
  <c r="C18" i="3" s="1"/>
  <c r="J36" i="2"/>
  <c r="J6" s="1"/>
  <c r="N36"/>
  <c r="N6" s="1"/>
  <c r="K36"/>
  <c r="K6" s="1"/>
  <c r="G36"/>
  <c r="G6" s="1"/>
  <c r="F36"/>
  <c r="F6" s="1"/>
  <c r="I14"/>
  <c r="I13" s="1"/>
  <c r="C18" l="1"/>
  <c r="F26"/>
  <c r="F18" i="3" s="1"/>
  <c r="E17" i="2"/>
  <c r="E18" s="1"/>
  <c r="D36"/>
  <c r="D6" s="1"/>
  <c r="O6" s="1"/>
  <c r="E23"/>
  <c r="D16" i="3"/>
  <c r="E24" i="2"/>
  <c r="D17" i="3"/>
  <c r="H27" i="2"/>
  <c r="H19" i="3" s="1"/>
  <c r="C28" i="2"/>
  <c r="C22" i="3" s="1"/>
  <c r="E22" i="2"/>
  <c r="D15" i="3"/>
  <c r="O25" i="2"/>
  <c r="O23" i="3"/>
  <c r="D10"/>
  <c r="D11" s="1"/>
  <c r="D9" s="1"/>
  <c r="D25"/>
  <c r="E25" s="1"/>
  <c r="F25" s="1"/>
  <c r="G25" s="1"/>
  <c r="H25" s="1"/>
  <c r="I25" s="1"/>
  <c r="J25" s="1"/>
  <c r="K25" s="1"/>
  <c r="L25" s="1"/>
  <c r="M25" s="1"/>
  <c r="N25" s="1"/>
  <c r="O19" i="2"/>
  <c r="C12" i="3"/>
  <c r="C43" i="2"/>
  <c r="G21"/>
  <c r="F14" i="3"/>
  <c r="G13"/>
  <c r="H20" i="2"/>
  <c r="C7" i="3"/>
  <c r="G7"/>
  <c r="E7"/>
  <c r="C11"/>
  <c r="J14" i="2"/>
  <c r="D28"/>
  <c r="F17"/>
  <c r="D12" i="3" l="1"/>
  <c r="G26" i="2"/>
  <c r="O36"/>
  <c r="E10" i="3"/>
  <c r="F10" s="1"/>
  <c r="F11" s="1"/>
  <c r="F9" s="1"/>
  <c r="O25"/>
  <c r="I27" i="2"/>
  <c r="I19" i="3" s="1"/>
  <c r="D16" i="2"/>
  <c r="D29" s="1"/>
  <c r="D5" s="1"/>
  <c r="D22" i="3"/>
  <c r="D20" s="1"/>
  <c r="F24" i="2"/>
  <c r="E17" i="3"/>
  <c r="F23" i="2"/>
  <c r="E16" i="3"/>
  <c r="F22" i="2"/>
  <c r="E15" i="3"/>
  <c r="C9"/>
  <c r="C20"/>
  <c r="H7"/>
  <c r="H21" i="2"/>
  <c r="G14" i="3"/>
  <c r="I20" i="2"/>
  <c r="H13" i="3"/>
  <c r="C7" i="2"/>
  <c r="O7" s="1"/>
  <c r="O43"/>
  <c r="C16"/>
  <c r="C29" s="1"/>
  <c r="K14"/>
  <c r="K13" s="1"/>
  <c r="J13"/>
  <c r="F18"/>
  <c r="G17"/>
  <c r="E28"/>
  <c r="F28"/>
  <c r="F20" i="3" s="1"/>
  <c r="G28" i="2" l="1"/>
  <c r="G20" i="3" s="1"/>
  <c r="G18"/>
  <c r="G10"/>
  <c r="H10" s="1"/>
  <c r="D24"/>
  <c r="D26" s="1"/>
  <c r="D30" s="1"/>
  <c r="E11"/>
  <c r="E9" s="1"/>
  <c r="C24"/>
  <c r="C26" s="1"/>
  <c r="H26" i="2"/>
  <c r="J27"/>
  <c r="J19" i="3" s="1"/>
  <c r="G24" i="2"/>
  <c r="F17" i="3"/>
  <c r="E16" i="2"/>
  <c r="E29" s="1"/>
  <c r="E5" s="1"/>
  <c r="E22" i="3"/>
  <c r="E20" s="1"/>
  <c r="G23" i="2"/>
  <c r="F16" i="3"/>
  <c r="E12"/>
  <c r="G22" i="2"/>
  <c r="F15" i="3"/>
  <c r="I7"/>
  <c r="C5" i="2"/>
  <c r="I21"/>
  <c r="H14" i="3"/>
  <c r="J20" i="2"/>
  <c r="I13" i="3"/>
  <c r="L14" i="2"/>
  <c r="G11" i="3"/>
  <c r="G9" s="1"/>
  <c r="F16" i="2"/>
  <c r="F29" s="1"/>
  <c r="F5" s="1"/>
  <c r="G18"/>
  <c r="H17"/>
  <c r="H28" l="1"/>
  <c r="H20" i="3" s="1"/>
  <c r="H18"/>
  <c r="D29"/>
  <c r="D28"/>
  <c r="I26" i="2"/>
  <c r="I18" i="3" s="1"/>
  <c r="F12"/>
  <c r="F24" s="1"/>
  <c r="F26" s="1"/>
  <c r="F29" s="1"/>
  <c r="H24" i="2"/>
  <c r="G17" i="3"/>
  <c r="K27" i="2"/>
  <c r="K19" i="3" s="1"/>
  <c r="H23" i="2"/>
  <c r="G16" i="3"/>
  <c r="G16" i="2"/>
  <c r="G29" s="1"/>
  <c r="G5" s="1"/>
  <c r="H22"/>
  <c r="G15" i="3"/>
  <c r="E24"/>
  <c r="E26" s="1"/>
  <c r="J7"/>
  <c r="L13" i="2"/>
  <c r="K20"/>
  <c r="J13" i="3"/>
  <c r="J21" i="2"/>
  <c r="I14" i="3"/>
  <c r="C9" i="2"/>
  <c r="D3" s="1"/>
  <c r="D9" s="1"/>
  <c r="E3" s="1"/>
  <c r="E9" s="1"/>
  <c r="F3" s="1"/>
  <c r="F9" s="1"/>
  <c r="G3" s="1"/>
  <c r="M14"/>
  <c r="M13" s="1"/>
  <c r="I10" i="3"/>
  <c r="H11"/>
  <c r="H9" s="1"/>
  <c r="I17" i="2"/>
  <c r="H18"/>
  <c r="G12" i="3" l="1"/>
  <c r="G24" s="1"/>
  <c r="G26" s="1"/>
  <c r="I28" i="2"/>
  <c r="I20" i="3" s="1"/>
  <c r="J26" i="2"/>
  <c r="F28" i="3"/>
  <c r="F30"/>
  <c r="L27" i="2"/>
  <c r="L19" i="3" s="1"/>
  <c r="I24" i="2"/>
  <c r="H17" i="3"/>
  <c r="I23" i="2"/>
  <c r="H16" i="3"/>
  <c r="G9" i="2"/>
  <c r="H3" s="1"/>
  <c r="E30" i="3"/>
  <c r="E29"/>
  <c r="E28"/>
  <c r="I22" i="2"/>
  <c r="H15" i="3"/>
  <c r="K7"/>
  <c r="H16" i="2"/>
  <c r="H29" s="1"/>
  <c r="K21"/>
  <c r="J14" i="3"/>
  <c r="N14" i="2"/>
  <c r="L20"/>
  <c r="K13" i="3"/>
  <c r="L7"/>
  <c r="J10"/>
  <c r="I11"/>
  <c r="I9" s="1"/>
  <c r="I18" i="2"/>
  <c r="J17"/>
  <c r="K26" l="1"/>
  <c r="K18" i="3" s="1"/>
  <c r="J18"/>
  <c r="H12"/>
  <c r="H24" s="1"/>
  <c r="H26" s="1"/>
  <c r="J28" i="2"/>
  <c r="J20" i="3" s="1"/>
  <c r="J24" i="2"/>
  <c r="I17" i="3"/>
  <c r="J23" i="2"/>
  <c r="I16" i="3"/>
  <c r="K28" i="2"/>
  <c r="K20" i="3" s="1"/>
  <c r="M27" i="2"/>
  <c r="M19" i="3" s="1"/>
  <c r="J22" i="2"/>
  <c r="I15" i="3"/>
  <c r="G30"/>
  <c r="G29"/>
  <c r="G28"/>
  <c r="I16" i="2"/>
  <c r="I29" s="1"/>
  <c r="I5" s="1"/>
  <c r="L21"/>
  <c r="K14" i="3"/>
  <c r="M20" i="2"/>
  <c r="L13" i="3"/>
  <c r="N13" i="2"/>
  <c r="O14"/>
  <c r="O13" s="1"/>
  <c r="H5"/>
  <c r="J11" i="3"/>
  <c r="J9" s="1"/>
  <c r="K10"/>
  <c r="O5"/>
  <c r="M7"/>
  <c r="K17" i="2"/>
  <c r="J18"/>
  <c r="L26" l="1"/>
  <c r="L18" i="3" s="1"/>
  <c r="J16" i="2"/>
  <c r="J29" s="1"/>
  <c r="J5" s="1"/>
  <c r="K23"/>
  <c r="J16" i="3"/>
  <c r="N27" i="2"/>
  <c r="N19" i="3" s="1"/>
  <c r="K24" i="2"/>
  <c r="J17" i="3"/>
  <c r="H28"/>
  <c r="H30"/>
  <c r="H29"/>
  <c r="I12"/>
  <c r="I24" s="1"/>
  <c r="I26" s="1"/>
  <c r="K22" i="2"/>
  <c r="J15" i="3"/>
  <c r="M21" i="2"/>
  <c r="L14" i="3"/>
  <c r="H9" i="2"/>
  <c r="I3" s="1"/>
  <c r="I9" s="1"/>
  <c r="J3" s="1"/>
  <c r="N20"/>
  <c r="M13" i="3"/>
  <c r="L10"/>
  <c r="K11"/>
  <c r="K9" s="1"/>
  <c r="L17" i="2"/>
  <c r="K18"/>
  <c r="M26" l="1"/>
  <c r="M18" i="3" s="1"/>
  <c r="L28" i="2"/>
  <c r="L20" i="3" s="1"/>
  <c r="J9" i="2"/>
  <c r="K3" s="1"/>
  <c r="O19" i="3"/>
  <c r="K16" i="2"/>
  <c r="K29" s="1"/>
  <c r="K5" s="1"/>
  <c r="L24"/>
  <c r="K17" i="3"/>
  <c r="M28" i="2"/>
  <c r="M20" i="3" s="1"/>
  <c r="J12"/>
  <c r="J24" s="1"/>
  <c r="J26" s="1"/>
  <c r="J28" s="1"/>
  <c r="L23" i="2"/>
  <c r="K16" i="3"/>
  <c r="O27" i="2"/>
  <c r="L22"/>
  <c r="K15" i="3"/>
  <c r="I28"/>
  <c r="I29"/>
  <c r="I30"/>
  <c r="O6"/>
  <c r="N13"/>
  <c r="O13" s="1"/>
  <c r="O20" i="2"/>
  <c r="N21"/>
  <c r="M14" i="3"/>
  <c r="N7"/>
  <c r="O7" s="1"/>
  <c r="M10"/>
  <c r="L11"/>
  <c r="L9" s="1"/>
  <c r="L18" i="2"/>
  <c r="M17"/>
  <c r="N26" l="1"/>
  <c r="N18" i="3" s="1"/>
  <c r="O18" s="1"/>
  <c r="K9" i="2"/>
  <c r="L3" s="1"/>
  <c r="L16"/>
  <c r="L29" s="1"/>
  <c r="L5" s="1"/>
  <c r="J29" i="3"/>
  <c r="K12"/>
  <c r="K24" s="1"/>
  <c r="K26" s="1"/>
  <c r="K28" s="1"/>
  <c r="M23" i="2"/>
  <c r="L16" i="3"/>
  <c r="J30"/>
  <c r="O26" i="2"/>
  <c r="M24"/>
  <c r="L17" i="3"/>
  <c r="M22" i="2"/>
  <c r="L15" i="3"/>
  <c r="N14"/>
  <c r="O14" s="1"/>
  <c r="O21" i="2"/>
  <c r="N10" i="3"/>
  <c r="O10" s="1"/>
  <c r="M11"/>
  <c r="M9" s="1"/>
  <c r="M18" i="2"/>
  <c r="N17"/>
  <c r="O17" s="1"/>
  <c r="N28" l="1"/>
  <c r="O28" s="1"/>
  <c r="L12" i="3"/>
  <c r="L24" s="1"/>
  <c r="L26" s="1"/>
  <c r="L28" s="1"/>
  <c r="L9" i="2"/>
  <c r="M3" s="1"/>
  <c r="K29" i="3"/>
  <c r="K30"/>
  <c r="N24" i="2"/>
  <c r="M17" i="3"/>
  <c r="N23" i="2"/>
  <c r="M16" i="3"/>
  <c r="M16" i="2"/>
  <c r="M29" s="1"/>
  <c r="M5" s="1"/>
  <c r="N22"/>
  <c r="N15" i="3" s="1"/>
  <c r="M15"/>
  <c r="N11"/>
  <c r="N18" i="2"/>
  <c r="L29" i="3" l="1"/>
  <c r="L30"/>
  <c r="M9" i="2"/>
  <c r="N3" s="1"/>
  <c r="M12" i="3"/>
  <c r="M24" s="1"/>
  <c r="M26" s="1"/>
  <c r="M29" s="1"/>
  <c r="N17"/>
  <c r="O17" s="1"/>
  <c r="O24" i="2"/>
  <c r="N20" i="3"/>
  <c r="O20" s="1"/>
  <c r="O22"/>
  <c r="O22" i="2"/>
  <c r="N16" i="3"/>
  <c r="O16" s="1"/>
  <c r="O23" i="2"/>
  <c r="O15" i="3"/>
  <c r="N9"/>
  <c r="O11"/>
  <c r="N16" i="2"/>
  <c r="N29" s="1"/>
  <c r="O18"/>
  <c r="N12" i="3" l="1"/>
  <c r="O12" s="1"/>
  <c r="M28"/>
  <c r="O16" i="2"/>
  <c r="M30" i="3"/>
  <c r="O9"/>
  <c r="N5" i="2"/>
  <c r="O29"/>
  <c r="N24" i="3" l="1"/>
  <c r="N26" s="1"/>
  <c r="O5" i="2"/>
  <c r="N9"/>
  <c r="O9" s="1"/>
  <c r="O24" i="3" l="1"/>
  <c r="O26" s="1"/>
  <c r="N28"/>
  <c r="N30"/>
  <c r="N29"/>
  <c r="O29" l="1"/>
  <c r="O30"/>
  <c r="O28"/>
</calcChain>
</file>

<file path=xl/sharedStrings.xml><?xml version="1.0" encoding="utf-8"?>
<sst xmlns="http://schemas.openxmlformats.org/spreadsheetml/2006/main" count="155" uniqueCount="124">
  <si>
    <t>Предположения</t>
  </si>
  <si>
    <t>Формат присутствия</t>
  </si>
  <si>
    <t>"Островок"</t>
  </si>
  <si>
    <t>Площадь "точки", м2</t>
  </si>
  <si>
    <t>Ставка арендной платы, руб./м2/месяц</t>
  </si>
  <si>
    <t>Персонал (2 сотрудника, 2/2)</t>
  </si>
  <si>
    <t>Налоги ФОТ</t>
  </si>
  <si>
    <t>ЕНВД</t>
  </si>
  <si>
    <t>Аренда оборудования (кофемашина)</t>
  </si>
  <si>
    <t>2. Операционные расходы (ежемесячные)</t>
  </si>
  <si>
    <t xml:space="preserve"> - стакан для горячих напитков</t>
  </si>
  <si>
    <t xml:space="preserve"> - стакан для холодных напитков</t>
  </si>
  <si>
    <t xml:space="preserve"> - тарелка бумажная</t>
  </si>
  <si>
    <t xml:space="preserve"> - ложка маленькая</t>
  </si>
  <si>
    <t>Полиграфия для раздачи Покупателям, комплект/руб.</t>
  </si>
  <si>
    <t xml:space="preserve"> - трубочка коктельная + салфетка бумажная</t>
  </si>
  <si>
    <t>3. Ингридиенты</t>
  </si>
  <si>
    <t>4. Операционные расходы на запуск</t>
  </si>
  <si>
    <t>Ингридиенты</t>
  </si>
  <si>
    <t>Ингридиенты (порций)</t>
  </si>
  <si>
    <t>Посуда (комплектов)</t>
  </si>
  <si>
    <t>Полиграфия (комплектов)</t>
  </si>
  <si>
    <t>5. Инвестиционные расходы</t>
  </si>
  <si>
    <t>Оборудование</t>
  </si>
  <si>
    <t>Мебельный комплекс "Островок"</t>
  </si>
  <si>
    <t>Холодильник (2 шт)</t>
  </si>
  <si>
    <t>Мойка кухонная</t>
  </si>
  <si>
    <t>Миксер</t>
  </si>
  <si>
    <t>Блендер погружной</t>
  </si>
  <si>
    <t>Доска разделочная пластик</t>
  </si>
  <si>
    <t xml:space="preserve">Полотенце </t>
  </si>
  <si>
    <t xml:space="preserve">Перчатки одноразовые </t>
  </si>
  <si>
    <t>Лопатка деревянная</t>
  </si>
  <si>
    <t>Средняя наценка, %</t>
  </si>
  <si>
    <t>Бюджет движения денежных средств</t>
  </si>
  <si>
    <t>Бюджет доходов и расходов</t>
  </si>
  <si>
    <t>Статья / Месяц</t>
  </si>
  <si>
    <t>Операционная деятельность</t>
  </si>
  <si>
    <t>Доходы операционной деятельности</t>
  </si>
  <si>
    <t>Расходы операционной деятельности</t>
  </si>
  <si>
    <t>ФОТ</t>
  </si>
  <si>
    <t>Посуда и принадлежности (1 комплект)</t>
  </si>
  <si>
    <t>Количество рабочих дней в месяце</t>
  </si>
  <si>
    <t>Посуда и принадлежности</t>
  </si>
  <si>
    <t>Аренда оборудования</t>
  </si>
  <si>
    <t>Плановый показатель (Доля покупателей), %</t>
  </si>
  <si>
    <t>Срок выхода на "плановый показатель", мес.</t>
  </si>
  <si>
    <t>Коммунальные платежи</t>
  </si>
  <si>
    <t>Аренда площадей</t>
  </si>
  <si>
    <t>Полиграфия</t>
  </si>
  <si>
    <t>ИТОГ ОПЕРАЦИОННОЙ ДЕЯТЕЛЬНОСТИ</t>
  </si>
  <si>
    <t>Финансовая деятельность</t>
  </si>
  <si>
    <t>Расходы финансовой деятельности</t>
  </si>
  <si>
    <t>Выплаты кредитов и займов</t>
  </si>
  <si>
    <t>Выплаты % по кредитам и займам</t>
  </si>
  <si>
    <t>ИТОГ ФИНАНСОВОЙ ДЕЯТЕЛЬНОСТИ</t>
  </si>
  <si>
    <t>Инвестиционная деятельность</t>
  </si>
  <si>
    <t>Доходы финансовой деятельности</t>
  </si>
  <si>
    <t>Доходы инвестиционной деятельности</t>
  </si>
  <si>
    <t>Расходы инвестиционной деятельности</t>
  </si>
  <si>
    <t>Приобретение оборудования</t>
  </si>
  <si>
    <t>Приобретение кухонных приборов</t>
  </si>
  <si>
    <t>ИТОГ ИНВЕСТИЦИОННОЙ ДЕЯТЕЛЬНОСТИ</t>
  </si>
  <si>
    <t>Остаток ДС на начало периода</t>
  </si>
  <si>
    <t>Итог Операционной деятельности</t>
  </si>
  <si>
    <t>Итог Финансовой деятельности</t>
  </si>
  <si>
    <t>Итог инвестиционной деятельности</t>
  </si>
  <si>
    <t>Остаток ДС на конец периода</t>
  </si>
  <si>
    <t>Прочие расходы</t>
  </si>
  <si>
    <t>% ставка по кредитам и займам, годовых</t>
  </si>
  <si>
    <t>Средний чек, руб.</t>
  </si>
  <si>
    <t>Ингридиенты среднего чека, руб.</t>
  </si>
  <si>
    <t>Выручка от продаж</t>
  </si>
  <si>
    <t>Себестоимость продаж</t>
  </si>
  <si>
    <t>Валовый доход</t>
  </si>
  <si>
    <t>Управленческие расходы</t>
  </si>
  <si>
    <t>Коммерческие расходы</t>
  </si>
  <si>
    <t>Прочие доходы и расходы</t>
  </si>
  <si>
    <t>Прочие доходы</t>
  </si>
  <si>
    <t>Прибыль до налогообложения</t>
  </si>
  <si>
    <t>ЧИСТАЯ ПРИБЫЛЬ</t>
  </si>
  <si>
    <t>1. Общие параметры</t>
  </si>
  <si>
    <t>Паушальный взнос, руб.</t>
  </si>
  <si>
    <t>Роялти</t>
  </si>
  <si>
    <t>CRM</t>
  </si>
  <si>
    <t>Паушальный взнос</t>
  </si>
  <si>
    <t>ИТОГ</t>
  </si>
  <si>
    <t>Первоначальные инвестиции, руб.</t>
  </si>
  <si>
    <t>Рентабельность к себестоимости, %</t>
  </si>
  <si>
    <t>Рентабельность к полной себестоимости, %</t>
  </si>
  <si>
    <t>Рентабельность по выручке, %</t>
  </si>
  <si>
    <t>"Проходимость" точки продаж, чел./час</t>
  </si>
  <si>
    <t>Кол-во рабочих часов в день</t>
  </si>
  <si>
    <t>CRM система</t>
  </si>
  <si>
    <t>Коммунальные платежи, руб./месяц</t>
  </si>
  <si>
    <t xml:space="preserve"> - бумажный пакет/конверт</t>
  </si>
  <si>
    <t>Кассовый аппарат/Фискальный регистратор</t>
  </si>
  <si>
    <t>Первоначальные инвестиции/ кредит/ займ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</si>
  <si>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</si>
  <si>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</si>
  <si>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</si>
  <si>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</si>
  <si>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</si>
  <si>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</si>
  <si>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</si>
  <si>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</si>
  <si>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</si>
  <si>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</si>
  <si>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</si>
  <si>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</si>
  <si>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Фильтр-вытяжка</t>
  </si>
  <si>
    <t>Бак для мусора</t>
  </si>
  <si>
    <t>Планшет</t>
  </si>
  <si>
    <t>Контейнер с крышкой д/теста (2 шт.)</t>
  </si>
  <si>
    <t>Контейнер с крышкой д/добавок (10 шт.)</t>
  </si>
  <si>
    <t>Контейнер с крышкой для сахара</t>
  </si>
  <si>
    <t>Ведро д/замеса теста (2 шт.)</t>
  </si>
  <si>
    <t>Дозатор для теста (2 шт.)</t>
  </si>
  <si>
    <t>Венчик металлический (2 шт.)</t>
  </si>
  <si>
    <t>Совок д/сыпучих продуктов</t>
  </si>
  <si>
    <t>Мерник (2 шт.)</t>
  </si>
  <si>
    <t>Ножи кухонные (3 шт.)</t>
  </si>
  <si>
    <t>Гарантийный взнос по аренде, 1/0</t>
  </si>
  <si>
    <t>Доп. товары и приборы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</si>
</sst>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b/>
      <sz val="10"/>
      <color theme="4" tint="-0.49998474074526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1" fillId="2" borderId="0" xfId="0" applyFont="1" applyFill="1"/>
    <xf numFmtId="0" fontId="1" fillId="3" borderId="0" xfId="0" applyFont="1" applyFill="1"/>
    <xf numFmtId="9" fontId="1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3" xfId="0" applyFont="1" applyBorder="1"/>
    <xf numFmtId="3" fontId="1" fillId="0" borderId="3" xfId="0" applyNumberFormat="1" applyFont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9" fontId="1" fillId="4" borderId="1" xfId="0" applyNumberFormat="1" applyFont="1" applyFill="1" applyBorder="1"/>
    <xf numFmtId="3" fontId="3" fillId="4" borderId="6" xfId="0" applyNumberFormat="1" applyFont="1" applyFill="1" applyBorder="1"/>
    <xf numFmtId="3" fontId="2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3" fillId="5" borderId="0" xfId="0" applyFont="1" applyFill="1"/>
    <xf numFmtId="0" fontId="3" fillId="6" borderId="0" xfId="0" applyFont="1" applyFill="1"/>
    <xf numFmtId="3" fontId="3" fillId="6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3" fontId="3" fillId="5" borderId="1" xfId="0" applyNumberFormat="1" applyFont="1" applyFill="1" applyBorder="1"/>
    <xf numFmtId="0" fontId="3" fillId="6" borderId="1" xfId="0" applyFont="1" applyFill="1" applyBorder="1"/>
    <xf numFmtId="3" fontId="3" fillId="6" borderId="1" xfId="0" applyNumberFormat="1" applyFont="1" applyFill="1" applyBorder="1"/>
    <xf numFmtId="3" fontId="6" fillId="0" borderId="1" xfId="0" applyNumberFormat="1" applyFont="1" applyBorder="1"/>
    <xf numFmtId="3" fontId="6" fillId="0" borderId="0" xfId="0" applyNumberFormat="1" applyFont="1"/>
    <xf numFmtId="0" fontId="1" fillId="0" borderId="0" xfId="0" applyFont="1" applyFill="1" applyBorder="1" applyAlignment="1">
      <alignment horizontal="left"/>
    </xf>
    <xf numFmtId="3" fontId="4" fillId="0" borderId="1" xfId="0" applyNumberFormat="1" applyFont="1" applyBorder="1"/>
    <xf numFmtId="0" fontId="1" fillId="0" borderId="0" xfId="0" applyFont="1" applyFill="1"/>
    <xf numFmtId="3" fontId="1" fillId="0" borderId="0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/>
    <xf numFmtId="0" fontId="7" fillId="0" borderId="1" xfId="0" applyFont="1" applyBorder="1"/>
    <xf numFmtId="0" fontId="7" fillId="0" borderId="0" xfId="0" applyFont="1"/>
    <xf numFmtId="3" fontId="2" fillId="6" borderId="0" xfId="0" applyNumberFormat="1" applyFont="1" applyFill="1"/>
    <xf numFmtId="3" fontId="3" fillId="6" borderId="0" xfId="0" applyNumberFormat="1" applyFont="1" applyFill="1" applyAlignment="1">
      <alignment horizontal="center" vertical="center"/>
    </xf>
    <xf numFmtId="3" fontId="7" fillId="6" borderId="1" xfId="0" applyNumberFormat="1" applyFont="1" applyFill="1" applyBorder="1"/>
    <xf numFmtId="3" fontId="7" fillId="6" borderId="0" xfId="0" applyNumberFormat="1" applyFont="1" applyFill="1"/>
    <xf numFmtId="3" fontId="1" fillId="6" borderId="0" xfId="0" applyNumberFormat="1" applyFont="1" applyFill="1"/>
    <xf numFmtId="3" fontId="3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/>
    <xf numFmtId="3" fontId="3" fillId="0" borderId="0" xfId="0" applyNumberFormat="1" applyFont="1" applyFill="1"/>
    <xf numFmtId="164" fontId="3" fillId="5" borderId="1" xfId="0" applyNumberFormat="1" applyFont="1" applyFill="1" applyBorder="1"/>
    <xf numFmtId="3" fontId="1" fillId="4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2" xfId="0" applyNumberFormat="1" applyFont="1" applyBorder="1"/>
    <xf numFmtId="3" fontId="4" fillId="4" borderId="1" xfId="0" applyNumberFormat="1" applyFont="1" applyFill="1" applyBorder="1"/>
    <xf numFmtId="3" fontId="4" fillId="0" borderId="3" xfId="0" applyNumberFormat="1" applyFont="1" applyBorder="1"/>
    <xf numFmtId="9" fontId="5" fillId="3" borderId="1" xfId="0" applyNumberFormat="1" applyFont="1" applyFill="1" applyBorder="1"/>
    <xf numFmtId="164" fontId="4" fillId="4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84740745262"/>
  </sheetPr>
  <dimension ref="A1:L78"/>
  <sheetViews>
    <sheetView workbookViewId="0">
      <selection activeCell="D6" sqref="D6"/>
    </sheetView>
  </sheetViews>
  <sheetFormatPr defaultRowHeight="12.75" outlineLevelRow="1"/>
  <cols>
    <col min="1" max="2" width="3.7109375" style="1" customWidth="1"/>
    <col min="3" max="3" width="45.7109375" style="1" customWidth="1"/>
    <col min="4" max="5" width="10.7109375" style="1" customWidth="1"/>
    <col min="6" max="6" width="15.42578125" style="1" customWidth="1"/>
    <col min="7" max="7" width="10.7109375" style="1" customWidth="1"/>
    <col min="8" max="16384" width="9.140625" style="1"/>
  </cols>
  <sheetData>
    <row r="1" spans="1:7" s="2" customFormat="1" ht="15.75">
      <c r="B1" s="65" t="s">
        <v>0</v>
      </c>
      <c r="C1" s="65"/>
    </row>
    <row r="3" spans="1:7" s="5" customFormat="1">
      <c r="A3" s="4"/>
      <c r="B3" s="66" t="s">
        <v>81</v>
      </c>
      <c r="C3" s="66"/>
    </row>
    <row r="5" spans="1:7">
      <c r="B5" s="57" t="s">
        <v>1</v>
      </c>
      <c r="C5" s="57"/>
      <c r="D5" s="16" t="s">
        <v>2</v>
      </c>
    </row>
    <row r="6" spans="1:7">
      <c r="B6" s="57" t="s">
        <v>91</v>
      </c>
      <c r="C6" s="57"/>
      <c r="D6" s="53">
        <v>800</v>
      </c>
    </row>
    <row r="7" spans="1:7">
      <c r="B7" s="57" t="s">
        <v>92</v>
      </c>
      <c r="C7" s="57"/>
      <c r="D7" s="17">
        <v>10</v>
      </c>
      <c r="G7" s="8"/>
    </row>
    <row r="8" spans="1:7">
      <c r="B8" s="57" t="s">
        <v>42</v>
      </c>
      <c r="C8" s="57"/>
      <c r="D8" s="17">
        <v>30</v>
      </c>
      <c r="G8" s="8"/>
    </row>
    <row r="9" spans="1:7">
      <c r="B9" s="57" t="s">
        <v>46</v>
      </c>
      <c r="C9" s="57"/>
      <c r="D9" s="17">
        <v>2</v>
      </c>
    </row>
    <row r="10" spans="1:7">
      <c r="B10" s="57" t="s">
        <v>45</v>
      </c>
      <c r="C10" s="57"/>
      <c r="D10" s="56">
        <v>5.0000000000000001E-3</v>
      </c>
    </row>
    <row r="11" spans="1:7">
      <c r="B11" s="60" t="s">
        <v>70</v>
      </c>
      <c r="C11" s="61"/>
      <c r="D11" s="17">
        <v>250</v>
      </c>
    </row>
    <row r="12" spans="1:7">
      <c r="D12" s="7"/>
    </row>
    <row r="13" spans="1:7" s="6" customFormat="1">
      <c r="B13" s="59" t="s">
        <v>33</v>
      </c>
      <c r="C13" s="59"/>
      <c r="D13" s="55">
        <v>5</v>
      </c>
    </row>
    <row r="15" spans="1:7">
      <c r="B15" s="57" t="s">
        <v>3</v>
      </c>
      <c r="C15" s="57"/>
      <c r="D15" s="17">
        <v>6</v>
      </c>
    </row>
    <row r="16" spans="1:7">
      <c r="B16" s="57" t="s">
        <v>4</v>
      </c>
      <c r="C16" s="57"/>
      <c r="D16" s="53">
        <v>8500</v>
      </c>
    </row>
    <row r="17" spans="1:5">
      <c r="B17" s="57" t="s">
        <v>94</v>
      </c>
      <c r="C17" s="57"/>
      <c r="D17" s="53">
        <v>1000</v>
      </c>
    </row>
    <row r="18" spans="1:5" s="35" customFormat="1">
      <c r="B18" s="33"/>
      <c r="C18" s="33"/>
      <c r="D18" s="36"/>
    </row>
    <row r="19" spans="1:5" s="35" customFormat="1">
      <c r="B19" s="57" t="s">
        <v>87</v>
      </c>
      <c r="C19" s="57"/>
      <c r="D19" s="17">
        <v>575000</v>
      </c>
    </row>
    <row r="20" spans="1:5">
      <c r="B20" s="57" t="s">
        <v>69</v>
      </c>
      <c r="C20" s="57"/>
      <c r="D20" s="18">
        <v>0</v>
      </c>
    </row>
    <row r="22" spans="1:5">
      <c r="B22" s="57" t="s">
        <v>82</v>
      </c>
      <c r="C22" s="57"/>
      <c r="D22" s="17">
        <v>226000</v>
      </c>
    </row>
    <row r="26" spans="1:5" s="5" customFormat="1">
      <c r="A26" s="4"/>
      <c r="B26" s="66" t="s">
        <v>9</v>
      </c>
      <c r="C26" s="66"/>
    </row>
    <row r="28" spans="1:5">
      <c r="B28" s="57" t="s">
        <v>5</v>
      </c>
      <c r="C28" s="57"/>
      <c r="D28" s="17">
        <f>2*16000</f>
        <v>32000</v>
      </c>
    </row>
    <row r="29" spans="1:5">
      <c r="B29" s="57" t="s">
        <v>6</v>
      </c>
      <c r="C29" s="57"/>
      <c r="D29" s="17">
        <f>D28*30%</f>
        <v>9600</v>
      </c>
    </row>
    <row r="30" spans="1:5">
      <c r="B30" s="57" t="s">
        <v>7</v>
      </c>
      <c r="C30" s="57"/>
      <c r="D30" s="17">
        <f>4500*3*1.798*1*15%</f>
        <v>3640.95</v>
      </c>
    </row>
    <row r="31" spans="1:5">
      <c r="B31" s="57" t="s">
        <v>8</v>
      </c>
      <c r="C31" s="57"/>
      <c r="D31" s="53">
        <v>1000</v>
      </c>
      <c r="E31" s="35"/>
    </row>
    <row r="32" spans="1:5">
      <c r="B32" s="57" t="s">
        <v>83</v>
      </c>
      <c r="C32" s="57"/>
      <c r="D32" s="17">
        <v>10000</v>
      </c>
    </row>
    <row r="33" spans="1:12">
      <c r="B33" s="57" t="s">
        <v>93</v>
      </c>
      <c r="C33" s="57"/>
      <c r="D33" s="17">
        <v>2990</v>
      </c>
    </row>
    <row r="34" spans="1:12">
      <c r="B34" s="57" t="s">
        <v>41</v>
      </c>
      <c r="C34" s="57"/>
      <c r="D34" s="17">
        <f>SUM(D35:D40)</f>
        <v>18.5</v>
      </c>
    </row>
    <row r="35" spans="1:12" hidden="1" outlineLevel="1">
      <c r="C35" s="10" t="s">
        <v>10</v>
      </c>
      <c r="D35" s="51">
        <v>6</v>
      </c>
    </row>
    <row r="36" spans="1:12" hidden="1" outlineLevel="1">
      <c r="C36" s="10" t="s">
        <v>11</v>
      </c>
      <c r="D36" s="51">
        <v>6</v>
      </c>
    </row>
    <row r="37" spans="1:12" hidden="1" outlineLevel="1">
      <c r="C37" s="10" t="s">
        <v>15</v>
      </c>
      <c r="D37" s="51">
        <v>0.5</v>
      </c>
    </row>
    <row r="38" spans="1:12" hidden="1" outlineLevel="1">
      <c r="C38" s="10" t="s">
        <v>12</v>
      </c>
      <c r="D38" s="51">
        <v>1.5</v>
      </c>
    </row>
    <row r="39" spans="1:12" hidden="1" outlineLevel="1">
      <c r="C39" s="10" t="s">
        <v>13</v>
      </c>
      <c r="D39" s="51">
        <v>0.5</v>
      </c>
    </row>
    <row r="40" spans="1:12" hidden="1" outlineLevel="1">
      <c r="C40" s="12" t="s">
        <v>95</v>
      </c>
      <c r="D40" s="52">
        <v>4</v>
      </c>
    </row>
    <row r="41" spans="1:12" collapsed="1">
      <c r="B41" s="57" t="s">
        <v>14</v>
      </c>
      <c r="C41" s="57"/>
      <c r="D41" s="53">
        <v>20</v>
      </c>
    </row>
    <row r="43" spans="1:12">
      <c r="B43" s="57" t="s">
        <v>122</v>
      </c>
      <c r="C43" s="57"/>
      <c r="D43" s="50">
        <v>1</v>
      </c>
    </row>
    <row r="44" spans="1:12">
      <c r="J44" s="64"/>
      <c r="K44" s="64"/>
      <c r="L44" s="36"/>
    </row>
    <row r="45" spans="1:12" s="5" customFormat="1">
      <c r="A45" s="4"/>
      <c r="B45" s="67" t="s">
        <v>16</v>
      </c>
      <c r="C45" s="67"/>
    </row>
    <row r="46" spans="1:12">
      <c r="B46" s="57" t="s">
        <v>71</v>
      </c>
      <c r="C46" s="57"/>
      <c r="D46" s="17">
        <f>D11/(1+D13)</f>
        <v>41.666666666666664</v>
      </c>
    </row>
    <row r="48" spans="1:12" s="5" customFormat="1">
      <c r="A48" s="4"/>
      <c r="B48" s="67" t="s">
        <v>17</v>
      </c>
      <c r="C48" s="67"/>
    </row>
    <row r="49" spans="1:4">
      <c r="B49" s="57" t="s">
        <v>19</v>
      </c>
      <c r="C49" s="57"/>
      <c r="D49" s="17">
        <f>D6*D7*D8*D10*50%</f>
        <v>600</v>
      </c>
    </row>
    <row r="50" spans="1:4">
      <c r="B50" s="57" t="s">
        <v>20</v>
      </c>
      <c r="C50" s="57"/>
      <c r="D50" s="17">
        <f>D6*D7*D8*D10*50%</f>
        <v>600</v>
      </c>
    </row>
    <row r="51" spans="1:4">
      <c r="B51" s="57" t="s">
        <v>21</v>
      </c>
      <c r="C51" s="57"/>
      <c r="D51" s="17">
        <f>D6*D7*D8*D10*50%</f>
        <v>600</v>
      </c>
    </row>
    <row r="53" spans="1:4" s="5" customFormat="1" ht="13.5" thickBot="1">
      <c r="A53" s="4"/>
      <c r="B53" s="58" t="s">
        <v>22</v>
      </c>
      <c r="C53" s="58"/>
    </row>
    <row r="54" spans="1:4" s="3" customFormat="1" ht="13.5" thickBot="1">
      <c r="B54" s="62" t="s">
        <v>23</v>
      </c>
      <c r="C54" s="63"/>
      <c r="D54" s="19">
        <f>SUM(D55:D63)</f>
        <v>109800</v>
      </c>
    </row>
    <row r="55" spans="1:4" hidden="1" outlineLevel="1">
      <c r="C55" s="14" t="s">
        <v>24</v>
      </c>
      <c r="D55" s="54">
        <v>50000</v>
      </c>
    </row>
    <row r="56" spans="1:4" hidden="1" outlineLevel="1">
      <c r="C56" s="10" t="s">
        <v>25</v>
      </c>
      <c r="D56" s="11">
        <v>20000</v>
      </c>
    </row>
    <row r="57" spans="1:4" hidden="1" outlineLevel="1">
      <c r="C57" s="10" t="s">
        <v>26</v>
      </c>
      <c r="D57" s="11">
        <v>6000</v>
      </c>
    </row>
    <row r="58" spans="1:4" hidden="1" outlineLevel="1">
      <c r="C58" s="10" t="s">
        <v>110</v>
      </c>
      <c r="D58" s="11">
        <v>3500</v>
      </c>
    </row>
    <row r="59" spans="1:4" hidden="1" outlineLevel="1">
      <c r="C59" s="10" t="s">
        <v>111</v>
      </c>
      <c r="D59" s="11">
        <v>300</v>
      </c>
    </row>
    <row r="60" spans="1:4" hidden="1" outlineLevel="1">
      <c r="C60" s="10" t="s">
        <v>27</v>
      </c>
      <c r="D60" s="11">
        <v>3000</v>
      </c>
    </row>
    <row r="61" spans="1:4" s="3" customFormat="1" hidden="1" outlineLevel="1">
      <c r="B61" s="1"/>
      <c r="C61" s="12" t="s">
        <v>28</v>
      </c>
      <c r="D61" s="13">
        <v>2000</v>
      </c>
    </row>
    <row r="62" spans="1:4" hidden="1" outlineLevel="1">
      <c r="C62" s="12" t="s">
        <v>96</v>
      </c>
      <c r="D62" s="13">
        <v>15000</v>
      </c>
    </row>
    <row r="63" spans="1:4" ht="13.5" hidden="1" outlineLevel="1" thickBot="1">
      <c r="C63" s="12" t="s">
        <v>112</v>
      </c>
      <c r="D63" s="13">
        <v>10000</v>
      </c>
    </row>
    <row r="64" spans="1:4" ht="13.5" collapsed="1" thickBot="1">
      <c r="B64" s="62" t="s">
        <v>123</v>
      </c>
      <c r="C64" s="63"/>
      <c r="D64" s="19">
        <f>SUM(D65:D77)</f>
        <v>6930</v>
      </c>
    </row>
    <row r="65" spans="3:4" hidden="1" outlineLevel="1">
      <c r="C65" s="14" t="s">
        <v>113</v>
      </c>
      <c r="D65" s="15">
        <v>400</v>
      </c>
    </row>
    <row r="66" spans="3:4" hidden="1" outlineLevel="1">
      <c r="C66" s="10" t="s">
        <v>114</v>
      </c>
      <c r="D66" s="11">
        <v>1000</v>
      </c>
    </row>
    <row r="67" spans="3:4" hidden="1" outlineLevel="1">
      <c r="C67" s="10" t="s">
        <v>115</v>
      </c>
      <c r="D67" s="11">
        <v>180</v>
      </c>
    </row>
    <row r="68" spans="3:4" hidden="1" outlineLevel="1">
      <c r="C68" s="10" t="s">
        <v>116</v>
      </c>
      <c r="D68" s="11">
        <v>360</v>
      </c>
    </row>
    <row r="69" spans="3:4" hidden="1" outlineLevel="1">
      <c r="C69" s="10" t="s">
        <v>117</v>
      </c>
      <c r="D69" s="11">
        <v>1000</v>
      </c>
    </row>
    <row r="70" spans="3:4" hidden="1" outlineLevel="1">
      <c r="C70" s="10" t="s">
        <v>118</v>
      </c>
      <c r="D70" s="11">
        <v>300</v>
      </c>
    </row>
    <row r="71" spans="3:4" hidden="1" outlineLevel="1">
      <c r="C71" s="10" t="s">
        <v>119</v>
      </c>
      <c r="D71" s="11">
        <v>100</v>
      </c>
    </row>
    <row r="72" spans="3:4" hidden="1" outlineLevel="1">
      <c r="C72" s="10" t="s">
        <v>29</v>
      </c>
      <c r="D72" s="11">
        <v>450</v>
      </c>
    </row>
    <row r="73" spans="3:4" hidden="1" outlineLevel="1">
      <c r="C73" s="10" t="s">
        <v>120</v>
      </c>
      <c r="D73" s="11">
        <v>240</v>
      </c>
    </row>
    <row r="74" spans="3:4" hidden="1" outlineLevel="1">
      <c r="C74" s="10" t="s">
        <v>32</v>
      </c>
      <c r="D74" s="11">
        <v>200</v>
      </c>
    </row>
    <row r="75" spans="3:4" hidden="1" outlineLevel="1">
      <c r="C75" s="10" t="s">
        <v>30</v>
      </c>
      <c r="D75" s="11">
        <v>100</v>
      </c>
    </row>
    <row r="76" spans="3:4" hidden="1" outlineLevel="1">
      <c r="C76" s="10" t="s">
        <v>31</v>
      </c>
      <c r="D76" s="11">
        <v>2000</v>
      </c>
    </row>
    <row r="77" spans="3:4" hidden="1" outlineLevel="1">
      <c r="C77" s="10" t="s">
        <v>121</v>
      </c>
      <c r="D77" s="11">
        <v>600</v>
      </c>
    </row>
    <row r="78" spans="3:4" collapsed="1"/>
  </sheetData>
  <sheetProtection password="C675" sheet="1" objects="1" scenarios="1"/>
  <protectedRanges>
    <protectedRange sqref="D6:D51" name="Показатели"/>
  </protectedRanges>
  <mergeCells count="36">
    <mergeCell ref="B64:C64"/>
    <mergeCell ref="J44:K44"/>
    <mergeCell ref="B1:C1"/>
    <mergeCell ref="B3:C3"/>
    <mergeCell ref="B26:C26"/>
    <mergeCell ref="B45:C45"/>
    <mergeCell ref="B48:C48"/>
    <mergeCell ref="B32:C32"/>
    <mergeCell ref="B33:C33"/>
    <mergeCell ref="B54:C54"/>
    <mergeCell ref="B49:C49"/>
    <mergeCell ref="B50:C50"/>
    <mergeCell ref="B51:C51"/>
    <mergeCell ref="B41:C41"/>
    <mergeCell ref="B46:C46"/>
    <mergeCell ref="B34:C34"/>
    <mergeCell ref="B53:C53"/>
    <mergeCell ref="B5:C5"/>
    <mergeCell ref="B6:C6"/>
    <mergeCell ref="B8:C8"/>
    <mergeCell ref="B10:C10"/>
    <mergeCell ref="B13:C13"/>
    <mergeCell ref="B9:C9"/>
    <mergeCell ref="B11:C11"/>
    <mergeCell ref="B7:C7"/>
    <mergeCell ref="B15:C15"/>
    <mergeCell ref="B28:C28"/>
    <mergeCell ref="B29:C29"/>
    <mergeCell ref="B30:C30"/>
    <mergeCell ref="B31:C31"/>
    <mergeCell ref="B22:C22"/>
    <mergeCell ref="B16:C16"/>
    <mergeCell ref="B17:C17"/>
    <mergeCell ref="B20:C20"/>
    <mergeCell ref="B19:C19"/>
    <mergeCell ref="B43: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B1:O44"/>
  <sheetViews>
    <sheetView workbookViewId="0">
      <pane xSplit="2" ySplit="11" topLeftCell="C12" activePane="bottomRight" state="frozen"/>
      <selection pane="topRight" activeCell="C1" sqref="C1"/>
      <selection pane="bottomLeft" activeCell="A4" sqref="A4"/>
      <selection pane="bottomRight" activeCell="G27" sqref="G27"/>
    </sheetView>
  </sheetViews>
  <sheetFormatPr defaultRowHeight="12.75" outlineLevelRow="1"/>
  <cols>
    <col min="1" max="1" width="3.7109375" style="1" customWidth="1"/>
    <col min="2" max="2" width="36.42578125" style="1" customWidth="1"/>
    <col min="3" max="14" width="10.7109375" style="8" customWidth="1"/>
    <col min="15" max="15" width="10.7109375" style="45" customWidth="1"/>
    <col min="16" max="16384" width="9.140625" style="1"/>
  </cols>
  <sheetData>
    <row r="1" spans="2:15" s="2" customFormat="1" ht="15.75">
      <c r="B1" s="65" t="s">
        <v>34</v>
      </c>
      <c r="C1" s="65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41"/>
    </row>
    <row r="2" spans="2:15">
      <c r="O2" s="42" t="s">
        <v>86</v>
      </c>
    </row>
    <row r="3" spans="2:15">
      <c r="B3" s="39" t="s">
        <v>63</v>
      </c>
      <c r="C3" s="31">
        <v>0</v>
      </c>
      <c r="D3" s="31">
        <f>C9</f>
        <v>35049.049999999988</v>
      </c>
      <c r="E3" s="31">
        <f t="shared" ref="E3:N3" si="0">D9</f>
        <v>4453.0999999999767</v>
      </c>
      <c r="F3" s="37">
        <f t="shared" si="0"/>
        <v>30002.149999999965</v>
      </c>
      <c r="G3" s="37">
        <f t="shared" si="0"/>
        <v>134951.19999999995</v>
      </c>
      <c r="H3" s="37">
        <f t="shared" si="0"/>
        <v>239900.24999999994</v>
      </c>
      <c r="I3" s="37">
        <f t="shared" si="0"/>
        <v>344849.29999999993</v>
      </c>
      <c r="J3" s="37">
        <f t="shared" si="0"/>
        <v>449798.34999999992</v>
      </c>
      <c r="K3" s="37">
        <f t="shared" si="0"/>
        <v>554747.39999999991</v>
      </c>
      <c r="L3" s="37">
        <f t="shared" si="0"/>
        <v>659696.44999999995</v>
      </c>
      <c r="M3" s="37">
        <f t="shared" si="0"/>
        <v>764645.5</v>
      </c>
      <c r="N3" s="37">
        <f t="shared" si="0"/>
        <v>869594.55</v>
      </c>
      <c r="O3" s="43">
        <f>C3</f>
        <v>0</v>
      </c>
    </row>
    <row r="4" spans="2:15">
      <c r="B4" s="40"/>
      <c r="C4" s="32"/>
      <c r="D4" s="32"/>
      <c r="E4" s="32"/>
      <c r="F4" s="38"/>
      <c r="G4" s="38"/>
      <c r="H4" s="38"/>
      <c r="I4" s="38"/>
      <c r="J4" s="38"/>
      <c r="K4" s="38"/>
      <c r="L4" s="38"/>
      <c r="M4" s="38"/>
      <c r="N4" s="38"/>
      <c r="O4" s="44"/>
    </row>
    <row r="5" spans="2:15">
      <c r="B5" s="39" t="s">
        <v>64</v>
      </c>
      <c r="C5" s="31">
        <f>C29</f>
        <v>-202150.95</v>
      </c>
      <c r="D5" s="31">
        <f t="shared" ref="D5:N5" si="1">D29</f>
        <v>-30595.950000000012</v>
      </c>
      <c r="E5" s="31">
        <f t="shared" si="1"/>
        <v>25549.049999999988</v>
      </c>
      <c r="F5" s="37">
        <f t="shared" si="1"/>
        <v>104949.04999999999</v>
      </c>
      <c r="G5" s="37">
        <f t="shared" si="1"/>
        <v>104949.04999999999</v>
      </c>
      <c r="H5" s="37">
        <f t="shared" si="1"/>
        <v>104949.04999999999</v>
      </c>
      <c r="I5" s="37">
        <f t="shared" si="1"/>
        <v>104949.04999999999</v>
      </c>
      <c r="J5" s="37">
        <f t="shared" si="1"/>
        <v>104949.04999999999</v>
      </c>
      <c r="K5" s="37">
        <f t="shared" si="1"/>
        <v>104949.04999999999</v>
      </c>
      <c r="L5" s="37">
        <f t="shared" si="1"/>
        <v>104949.04999999999</v>
      </c>
      <c r="M5" s="37">
        <f t="shared" si="1"/>
        <v>104949.04999999999</v>
      </c>
      <c r="N5" s="37">
        <f t="shared" si="1"/>
        <v>104949.04999999999</v>
      </c>
      <c r="O5" s="43">
        <f>SUM(C5:N5)</f>
        <v>737343.59999999986</v>
      </c>
    </row>
    <row r="6" spans="2:15">
      <c r="B6" s="39" t="s">
        <v>65</v>
      </c>
      <c r="C6" s="31">
        <f>C36</f>
        <v>575000</v>
      </c>
      <c r="D6" s="31">
        <f t="shared" ref="D6:N6" si="2">D36</f>
        <v>0</v>
      </c>
      <c r="E6" s="31">
        <f t="shared" si="2"/>
        <v>0</v>
      </c>
      <c r="F6" s="37">
        <f t="shared" si="2"/>
        <v>0</v>
      </c>
      <c r="G6" s="37">
        <f t="shared" si="2"/>
        <v>0</v>
      </c>
      <c r="H6" s="37">
        <f t="shared" si="2"/>
        <v>0</v>
      </c>
      <c r="I6" s="37">
        <f t="shared" si="2"/>
        <v>0</v>
      </c>
      <c r="J6" s="37">
        <f t="shared" si="2"/>
        <v>0</v>
      </c>
      <c r="K6" s="37">
        <f t="shared" si="2"/>
        <v>0</v>
      </c>
      <c r="L6" s="37">
        <f t="shared" si="2"/>
        <v>0</v>
      </c>
      <c r="M6" s="37">
        <f t="shared" si="2"/>
        <v>0</v>
      </c>
      <c r="N6" s="37">
        <f t="shared" si="2"/>
        <v>0</v>
      </c>
      <c r="O6" s="43">
        <f t="shared" ref="O6:O7" si="3">SUM(C6:N6)</f>
        <v>575000</v>
      </c>
    </row>
    <row r="7" spans="2:15">
      <c r="B7" s="39" t="s">
        <v>66</v>
      </c>
      <c r="C7" s="31">
        <f>C43</f>
        <v>-337800</v>
      </c>
      <c r="D7" s="31">
        <f t="shared" ref="D7:N7" si="4">D43</f>
        <v>0</v>
      </c>
      <c r="E7" s="31">
        <f t="shared" si="4"/>
        <v>0</v>
      </c>
      <c r="F7" s="37">
        <f t="shared" si="4"/>
        <v>0</v>
      </c>
      <c r="G7" s="37">
        <f t="shared" si="4"/>
        <v>0</v>
      </c>
      <c r="H7" s="37">
        <f t="shared" si="4"/>
        <v>0</v>
      </c>
      <c r="I7" s="37">
        <f t="shared" si="4"/>
        <v>0</v>
      </c>
      <c r="J7" s="37">
        <f t="shared" si="4"/>
        <v>0</v>
      </c>
      <c r="K7" s="37">
        <f t="shared" si="4"/>
        <v>0</v>
      </c>
      <c r="L7" s="37">
        <f t="shared" si="4"/>
        <v>0</v>
      </c>
      <c r="M7" s="37">
        <f t="shared" si="4"/>
        <v>0</v>
      </c>
      <c r="N7" s="37">
        <f t="shared" si="4"/>
        <v>0</v>
      </c>
      <c r="O7" s="43">
        <f t="shared" si="3"/>
        <v>-337800</v>
      </c>
    </row>
    <row r="8" spans="2:15">
      <c r="B8" s="40"/>
      <c r="C8" s="32"/>
      <c r="D8" s="32"/>
      <c r="E8" s="32"/>
      <c r="F8" s="38"/>
      <c r="G8" s="38"/>
      <c r="H8" s="38"/>
      <c r="I8" s="38"/>
      <c r="J8" s="38"/>
      <c r="K8" s="38"/>
      <c r="L8" s="38"/>
      <c r="M8" s="38"/>
      <c r="N8" s="38"/>
      <c r="O8" s="44"/>
    </row>
    <row r="9" spans="2:15">
      <c r="B9" s="39" t="s">
        <v>67</v>
      </c>
      <c r="C9" s="31">
        <f>C3+C5+C6+C7</f>
        <v>35049.049999999988</v>
      </c>
      <c r="D9" s="31">
        <f t="shared" ref="D9:N9" si="5">D3+D5+D6+D7</f>
        <v>4453.0999999999767</v>
      </c>
      <c r="E9" s="31">
        <f t="shared" si="5"/>
        <v>30002.149999999965</v>
      </c>
      <c r="F9" s="37">
        <f t="shared" si="5"/>
        <v>134951.19999999995</v>
      </c>
      <c r="G9" s="37">
        <f t="shared" si="5"/>
        <v>239900.24999999994</v>
      </c>
      <c r="H9" s="37">
        <f t="shared" si="5"/>
        <v>344849.29999999993</v>
      </c>
      <c r="I9" s="37">
        <f t="shared" si="5"/>
        <v>449798.34999999992</v>
      </c>
      <c r="J9" s="37">
        <f t="shared" si="5"/>
        <v>554747.39999999991</v>
      </c>
      <c r="K9" s="37">
        <f t="shared" si="5"/>
        <v>659696.44999999995</v>
      </c>
      <c r="L9" s="37">
        <f t="shared" si="5"/>
        <v>764645.5</v>
      </c>
      <c r="M9" s="37">
        <f t="shared" si="5"/>
        <v>869594.55</v>
      </c>
      <c r="N9" s="37">
        <f t="shared" si="5"/>
        <v>974543.60000000009</v>
      </c>
      <c r="O9" s="43">
        <f>N9</f>
        <v>974543.60000000009</v>
      </c>
    </row>
    <row r="11" spans="2:15" s="21" customFormat="1">
      <c r="B11" s="25" t="s">
        <v>36</v>
      </c>
      <c r="C11" s="26" t="s">
        <v>98</v>
      </c>
      <c r="D11" s="26" t="s">
        <v>99</v>
      </c>
      <c r="E11" s="26" t="s">
        <v>100</v>
      </c>
      <c r="F11" s="26" t="s">
        <v>101</v>
      </c>
      <c r="G11" s="26" t="s">
        <v>102</v>
      </c>
      <c r="H11" s="26" t="s">
        <v>103</v>
      </c>
      <c r="I11" s="26" t="s">
        <v>104</v>
      </c>
      <c r="J11" s="26" t="s">
        <v>105</v>
      </c>
      <c r="K11" s="26" t="s">
        <v>106</v>
      </c>
      <c r="L11" s="26" t="s">
        <v>107</v>
      </c>
      <c r="M11" s="26" t="s">
        <v>108</v>
      </c>
      <c r="N11" s="26" t="s">
        <v>109</v>
      </c>
      <c r="O11" s="46" t="s">
        <v>86</v>
      </c>
    </row>
    <row r="12" spans="2:15" s="3" customFormat="1">
      <c r="B12" s="3" t="s">
        <v>37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4"/>
    </row>
    <row r="13" spans="2:15" s="22" customFormat="1">
      <c r="B13" s="27" t="s">
        <v>38</v>
      </c>
      <c r="C13" s="28">
        <f>C14</f>
        <v>0</v>
      </c>
      <c r="D13" s="28">
        <f t="shared" ref="D13:N13" si="6">D14</f>
        <v>150000</v>
      </c>
      <c r="E13" s="28">
        <f t="shared" si="6"/>
        <v>225000</v>
      </c>
      <c r="F13" s="28">
        <f t="shared" si="6"/>
        <v>300000</v>
      </c>
      <c r="G13" s="28">
        <f t="shared" si="6"/>
        <v>300000</v>
      </c>
      <c r="H13" s="28">
        <f t="shared" si="6"/>
        <v>300000</v>
      </c>
      <c r="I13" s="28">
        <f t="shared" si="6"/>
        <v>300000</v>
      </c>
      <c r="J13" s="28">
        <f t="shared" si="6"/>
        <v>300000</v>
      </c>
      <c r="K13" s="28">
        <f t="shared" si="6"/>
        <v>300000</v>
      </c>
      <c r="L13" s="28">
        <f t="shared" si="6"/>
        <v>300000</v>
      </c>
      <c r="M13" s="28">
        <f t="shared" si="6"/>
        <v>300000</v>
      </c>
      <c r="N13" s="28">
        <f t="shared" si="6"/>
        <v>300000</v>
      </c>
      <c r="O13" s="30">
        <f>O14</f>
        <v>3075000</v>
      </c>
    </row>
    <row r="14" spans="2:15">
      <c r="B14" s="10" t="s">
        <v>72</v>
      </c>
      <c r="C14" s="11">
        <f>Предположения!D6*Предположения!D7*Предположения!D8*Предположения!D10*Предположения!D11*0%</f>
        <v>0</v>
      </c>
      <c r="D14" s="11">
        <f>Предположения!D6*Предположения!D7*Предположения!D8*Предположения!D10*Предположения!D11*50%</f>
        <v>150000</v>
      </c>
      <c r="E14" s="11">
        <f>Предположения!D6*Предположения!D7*Предположения!D8*Предположения!D10*Предположения!D11*75%</f>
        <v>225000</v>
      </c>
      <c r="F14" s="11">
        <f>Предположения!D6*Предположения!D7*Предположения!D8*Предположения!D10*Предположения!D11</f>
        <v>300000</v>
      </c>
      <c r="G14" s="11">
        <f>F14</f>
        <v>300000</v>
      </c>
      <c r="H14" s="11">
        <f t="shared" ref="H14:N14" si="7">G14</f>
        <v>300000</v>
      </c>
      <c r="I14" s="11">
        <f t="shared" si="7"/>
        <v>300000</v>
      </c>
      <c r="J14" s="11">
        <f t="shared" si="7"/>
        <v>300000</v>
      </c>
      <c r="K14" s="11">
        <f t="shared" si="7"/>
        <v>300000</v>
      </c>
      <c r="L14" s="11">
        <f t="shared" si="7"/>
        <v>300000</v>
      </c>
      <c r="M14" s="11">
        <f t="shared" si="7"/>
        <v>300000</v>
      </c>
      <c r="N14" s="11">
        <f t="shared" si="7"/>
        <v>300000</v>
      </c>
      <c r="O14" s="47">
        <f>SUM(C14:N14)</f>
        <v>3075000</v>
      </c>
    </row>
    <row r="16" spans="2:15" s="22" customFormat="1">
      <c r="B16" s="27" t="s">
        <v>39</v>
      </c>
      <c r="C16" s="28">
        <f>SUM(C17:C25)+SUM(C26:C28)</f>
        <v>202150.95</v>
      </c>
      <c r="D16" s="28">
        <f t="shared" ref="D16:N16" si="8">SUM(D17:D25)+SUM(D26:D28)</f>
        <v>180595.95</v>
      </c>
      <c r="E16" s="28">
        <f t="shared" si="8"/>
        <v>199450.95</v>
      </c>
      <c r="F16" s="28">
        <f t="shared" si="8"/>
        <v>195050.95</v>
      </c>
      <c r="G16" s="28">
        <f t="shared" si="8"/>
        <v>195050.95</v>
      </c>
      <c r="H16" s="28">
        <f t="shared" si="8"/>
        <v>195050.95</v>
      </c>
      <c r="I16" s="28">
        <f t="shared" si="8"/>
        <v>195050.95</v>
      </c>
      <c r="J16" s="28">
        <f t="shared" si="8"/>
        <v>195050.95</v>
      </c>
      <c r="K16" s="28">
        <f t="shared" si="8"/>
        <v>195050.95</v>
      </c>
      <c r="L16" s="28">
        <f t="shared" si="8"/>
        <v>195050.95</v>
      </c>
      <c r="M16" s="28">
        <f t="shared" si="8"/>
        <v>195050.95</v>
      </c>
      <c r="N16" s="28">
        <f t="shared" si="8"/>
        <v>195050.95</v>
      </c>
      <c r="O16" s="30">
        <f>SUM(O17:O28)</f>
        <v>2337656.4</v>
      </c>
    </row>
    <row r="17" spans="2:15">
      <c r="B17" s="10" t="s">
        <v>40</v>
      </c>
      <c r="C17" s="11">
        <f>Предположения!D28</f>
        <v>32000</v>
      </c>
      <c r="D17" s="11">
        <f>C17</f>
        <v>32000</v>
      </c>
      <c r="E17" s="11">
        <f t="shared" ref="E17:N17" si="9">D17</f>
        <v>32000</v>
      </c>
      <c r="F17" s="11">
        <f t="shared" si="9"/>
        <v>32000</v>
      </c>
      <c r="G17" s="11">
        <f t="shared" si="9"/>
        <v>32000</v>
      </c>
      <c r="H17" s="11">
        <f t="shared" si="9"/>
        <v>32000</v>
      </c>
      <c r="I17" s="11">
        <f t="shared" si="9"/>
        <v>32000</v>
      </c>
      <c r="J17" s="11">
        <f t="shared" si="9"/>
        <v>32000</v>
      </c>
      <c r="K17" s="11">
        <f t="shared" si="9"/>
        <v>32000</v>
      </c>
      <c r="L17" s="11">
        <f t="shared" si="9"/>
        <v>32000</v>
      </c>
      <c r="M17" s="11">
        <f t="shared" si="9"/>
        <v>32000</v>
      </c>
      <c r="N17" s="11">
        <f t="shared" si="9"/>
        <v>32000</v>
      </c>
      <c r="O17" s="47">
        <f t="shared" ref="O17:O43" si="10">SUM(C17:N17)</f>
        <v>384000</v>
      </c>
    </row>
    <row r="18" spans="2:15">
      <c r="B18" s="10" t="s">
        <v>6</v>
      </c>
      <c r="C18" s="11">
        <f>C17*30%</f>
        <v>9600</v>
      </c>
      <c r="D18" s="11">
        <f t="shared" ref="D18:N18" si="11">D17*30%</f>
        <v>9600</v>
      </c>
      <c r="E18" s="11">
        <f t="shared" si="11"/>
        <v>9600</v>
      </c>
      <c r="F18" s="11">
        <f t="shared" si="11"/>
        <v>9600</v>
      </c>
      <c r="G18" s="11">
        <f t="shared" si="11"/>
        <v>9600</v>
      </c>
      <c r="H18" s="11">
        <f t="shared" si="11"/>
        <v>9600</v>
      </c>
      <c r="I18" s="11">
        <f t="shared" si="11"/>
        <v>9600</v>
      </c>
      <c r="J18" s="11">
        <f t="shared" si="11"/>
        <v>9600</v>
      </c>
      <c r="K18" s="11">
        <f t="shared" si="11"/>
        <v>9600</v>
      </c>
      <c r="L18" s="11">
        <f t="shared" si="11"/>
        <v>9600</v>
      </c>
      <c r="M18" s="11">
        <f t="shared" si="11"/>
        <v>9600</v>
      </c>
      <c r="N18" s="11">
        <f t="shared" si="11"/>
        <v>9600</v>
      </c>
      <c r="O18" s="47">
        <f t="shared" si="10"/>
        <v>115200</v>
      </c>
    </row>
    <row r="19" spans="2:15">
      <c r="B19" s="10" t="s">
        <v>7</v>
      </c>
      <c r="C19" s="11">
        <f>Предположения!D30</f>
        <v>3640.95</v>
      </c>
      <c r="D19" s="11">
        <f>C19</f>
        <v>3640.95</v>
      </c>
      <c r="E19" s="11">
        <f t="shared" ref="E19:N21" si="12">D19</f>
        <v>3640.95</v>
      </c>
      <c r="F19" s="11">
        <f>E19</f>
        <v>3640.95</v>
      </c>
      <c r="G19" s="11">
        <f>F19</f>
        <v>3640.95</v>
      </c>
      <c r="H19" s="11">
        <f t="shared" si="12"/>
        <v>3640.95</v>
      </c>
      <c r="I19" s="11">
        <f t="shared" si="12"/>
        <v>3640.95</v>
      </c>
      <c r="J19" s="11">
        <f t="shared" si="12"/>
        <v>3640.95</v>
      </c>
      <c r="K19" s="11">
        <f t="shared" si="12"/>
        <v>3640.95</v>
      </c>
      <c r="L19" s="11">
        <f t="shared" si="12"/>
        <v>3640.95</v>
      </c>
      <c r="M19" s="11">
        <f t="shared" si="12"/>
        <v>3640.95</v>
      </c>
      <c r="N19" s="11">
        <f t="shared" si="12"/>
        <v>3640.95</v>
      </c>
      <c r="O19" s="47">
        <f t="shared" si="10"/>
        <v>43691.399999999994</v>
      </c>
    </row>
    <row r="20" spans="2:15">
      <c r="B20" s="10" t="s">
        <v>83</v>
      </c>
      <c r="C20" s="11">
        <v>0</v>
      </c>
      <c r="D20" s="11">
        <v>0</v>
      </c>
      <c r="E20" s="11">
        <f>Предположения!D32</f>
        <v>10000</v>
      </c>
      <c r="F20" s="11">
        <f>E20</f>
        <v>10000</v>
      </c>
      <c r="G20" s="11">
        <f t="shared" ref="G20" si="13">F20</f>
        <v>10000</v>
      </c>
      <c r="H20" s="11">
        <f t="shared" si="12"/>
        <v>10000</v>
      </c>
      <c r="I20" s="11">
        <f t="shared" si="12"/>
        <v>10000</v>
      </c>
      <c r="J20" s="11">
        <f t="shared" si="12"/>
        <v>10000</v>
      </c>
      <c r="K20" s="11">
        <f t="shared" si="12"/>
        <v>10000</v>
      </c>
      <c r="L20" s="11">
        <f t="shared" si="12"/>
        <v>10000</v>
      </c>
      <c r="M20" s="11">
        <f t="shared" si="12"/>
        <v>10000</v>
      </c>
      <c r="N20" s="11">
        <f t="shared" si="12"/>
        <v>10000</v>
      </c>
      <c r="O20" s="47">
        <f t="shared" si="10"/>
        <v>100000</v>
      </c>
    </row>
    <row r="21" spans="2:15">
      <c r="B21" s="10" t="s">
        <v>84</v>
      </c>
      <c r="C21" s="11">
        <v>0</v>
      </c>
      <c r="D21" s="11">
        <f>Предположения!D33</f>
        <v>2990</v>
      </c>
      <c r="E21" s="11">
        <f>D21</f>
        <v>2990</v>
      </c>
      <c r="F21" s="11">
        <f t="shared" ref="F21:G21" si="14">E21</f>
        <v>2990</v>
      </c>
      <c r="G21" s="11">
        <f t="shared" si="14"/>
        <v>2990</v>
      </c>
      <c r="H21" s="11">
        <f t="shared" si="12"/>
        <v>2990</v>
      </c>
      <c r="I21" s="11">
        <f t="shared" si="12"/>
        <v>2990</v>
      </c>
      <c r="J21" s="11">
        <f t="shared" si="12"/>
        <v>2990</v>
      </c>
      <c r="K21" s="11">
        <f t="shared" si="12"/>
        <v>2990</v>
      </c>
      <c r="L21" s="11">
        <f t="shared" si="12"/>
        <v>2990</v>
      </c>
      <c r="M21" s="11">
        <f t="shared" si="12"/>
        <v>2990</v>
      </c>
      <c r="N21" s="11">
        <f t="shared" si="12"/>
        <v>2990</v>
      </c>
      <c r="O21" s="47">
        <f t="shared" si="10"/>
        <v>32890</v>
      </c>
    </row>
    <row r="22" spans="2:15">
      <c r="B22" s="10" t="s">
        <v>48</v>
      </c>
      <c r="C22" s="11">
        <f>Предположения!D15*Предположения!D16*IF(Предположения!D43=1,2,1)</f>
        <v>102000</v>
      </c>
      <c r="D22" s="11">
        <f>Предположения!D15*Предположения!D16</f>
        <v>51000</v>
      </c>
      <c r="E22" s="11">
        <f t="shared" ref="E22:N22" si="15">D22</f>
        <v>51000</v>
      </c>
      <c r="F22" s="11">
        <f t="shared" si="15"/>
        <v>51000</v>
      </c>
      <c r="G22" s="11">
        <f t="shared" si="15"/>
        <v>51000</v>
      </c>
      <c r="H22" s="11">
        <f t="shared" si="15"/>
        <v>51000</v>
      </c>
      <c r="I22" s="11">
        <f t="shared" si="15"/>
        <v>51000</v>
      </c>
      <c r="J22" s="11">
        <f t="shared" si="15"/>
        <v>51000</v>
      </c>
      <c r="K22" s="11">
        <f t="shared" si="15"/>
        <v>51000</v>
      </c>
      <c r="L22" s="11">
        <f t="shared" si="15"/>
        <v>51000</v>
      </c>
      <c r="M22" s="11">
        <f t="shared" si="15"/>
        <v>51000</v>
      </c>
      <c r="N22" s="11">
        <f t="shared" si="15"/>
        <v>51000</v>
      </c>
      <c r="O22" s="47">
        <f t="shared" si="10"/>
        <v>663000</v>
      </c>
    </row>
    <row r="23" spans="2:15">
      <c r="B23" s="10" t="s">
        <v>44</v>
      </c>
      <c r="C23" s="11">
        <f>Предположения!D31</f>
        <v>1000</v>
      </c>
      <c r="D23" s="11">
        <f t="shared" ref="D23:N24" si="16">C23</f>
        <v>1000</v>
      </c>
      <c r="E23" s="11">
        <f t="shared" si="16"/>
        <v>1000</v>
      </c>
      <c r="F23" s="11">
        <f t="shared" si="16"/>
        <v>1000</v>
      </c>
      <c r="G23" s="11">
        <f t="shared" si="16"/>
        <v>1000</v>
      </c>
      <c r="H23" s="11">
        <f t="shared" si="16"/>
        <v>1000</v>
      </c>
      <c r="I23" s="11">
        <f t="shared" si="16"/>
        <v>1000</v>
      </c>
      <c r="J23" s="11">
        <f t="shared" si="16"/>
        <v>1000</v>
      </c>
      <c r="K23" s="11">
        <f t="shared" si="16"/>
        <v>1000</v>
      </c>
      <c r="L23" s="11">
        <f t="shared" si="16"/>
        <v>1000</v>
      </c>
      <c r="M23" s="11">
        <f t="shared" si="16"/>
        <v>1000</v>
      </c>
      <c r="N23" s="11">
        <f t="shared" si="16"/>
        <v>1000</v>
      </c>
      <c r="O23" s="47">
        <f t="shared" si="10"/>
        <v>12000</v>
      </c>
    </row>
    <row r="24" spans="2:15">
      <c r="B24" s="10" t="s">
        <v>47</v>
      </c>
      <c r="C24" s="11">
        <f>Предположения!D17</f>
        <v>1000</v>
      </c>
      <c r="D24" s="11">
        <f t="shared" si="16"/>
        <v>1000</v>
      </c>
      <c r="E24" s="11">
        <f t="shared" si="16"/>
        <v>1000</v>
      </c>
      <c r="F24" s="11">
        <f t="shared" si="16"/>
        <v>1000</v>
      </c>
      <c r="G24" s="11">
        <f t="shared" si="16"/>
        <v>1000</v>
      </c>
      <c r="H24" s="11">
        <f t="shared" si="16"/>
        <v>1000</v>
      </c>
      <c r="I24" s="11">
        <f t="shared" si="16"/>
        <v>1000</v>
      </c>
      <c r="J24" s="11">
        <f t="shared" si="16"/>
        <v>1000</v>
      </c>
      <c r="K24" s="11">
        <f t="shared" si="16"/>
        <v>1000</v>
      </c>
      <c r="L24" s="11">
        <f t="shared" si="16"/>
        <v>1000</v>
      </c>
      <c r="M24" s="11">
        <f t="shared" si="16"/>
        <v>1000</v>
      </c>
      <c r="N24" s="11">
        <f t="shared" si="16"/>
        <v>1000</v>
      </c>
      <c r="O24" s="47">
        <f t="shared" si="10"/>
        <v>12000</v>
      </c>
    </row>
    <row r="25" spans="2:15">
      <c r="B25" s="10" t="s">
        <v>18</v>
      </c>
      <c r="C25" s="11">
        <f>Предположения!D49*Предположения!D46</f>
        <v>25000</v>
      </c>
      <c r="D25" s="11">
        <f>Предположения!D6*Предположения!D7*Предположения!D8*Предположения!D10*Предположения!D46*75%</f>
        <v>37500</v>
      </c>
      <c r="E25" s="11">
        <f>Предположения!D6*Предположения!D7*Предположения!D8*Предположения!D10*Предположения!D46</f>
        <v>50000</v>
      </c>
      <c r="F25" s="11">
        <f>E25</f>
        <v>50000</v>
      </c>
      <c r="G25" s="11">
        <f t="shared" ref="G25:N25" si="17">F25</f>
        <v>50000</v>
      </c>
      <c r="H25" s="11">
        <f t="shared" si="17"/>
        <v>50000</v>
      </c>
      <c r="I25" s="11">
        <f t="shared" si="17"/>
        <v>50000</v>
      </c>
      <c r="J25" s="11">
        <f t="shared" si="17"/>
        <v>50000</v>
      </c>
      <c r="K25" s="11">
        <f t="shared" si="17"/>
        <v>50000</v>
      </c>
      <c r="L25" s="11">
        <f t="shared" si="17"/>
        <v>50000</v>
      </c>
      <c r="M25" s="11">
        <f t="shared" si="17"/>
        <v>50000</v>
      </c>
      <c r="N25" s="11">
        <f t="shared" si="17"/>
        <v>50000</v>
      </c>
      <c r="O25" s="47">
        <f t="shared" si="10"/>
        <v>562500</v>
      </c>
    </row>
    <row r="26" spans="2:15">
      <c r="B26" s="10" t="s">
        <v>43</v>
      </c>
      <c r="C26" s="11">
        <f>Предположения!D50*Предположения!D34</f>
        <v>11100</v>
      </c>
      <c r="D26" s="11">
        <f>Предположения!D6*Предположения!D7*Предположения!D8*Предположения!D10*Предположения!D34*75%</f>
        <v>16650</v>
      </c>
      <c r="E26" s="11">
        <f>Предположения!D6*Предположения!D7*Предположения!D8*Предположения!D10*Предположения!D34</f>
        <v>22200</v>
      </c>
      <c r="F26" s="11">
        <f t="shared" ref="F26:N26" si="18">E26</f>
        <v>22200</v>
      </c>
      <c r="G26" s="11">
        <f t="shared" si="18"/>
        <v>22200</v>
      </c>
      <c r="H26" s="11">
        <f t="shared" si="18"/>
        <v>22200</v>
      </c>
      <c r="I26" s="11">
        <f t="shared" si="18"/>
        <v>22200</v>
      </c>
      <c r="J26" s="11">
        <f t="shared" si="18"/>
        <v>22200</v>
      </c>
      <c r="K26" s="11">
        <f t="shared" si="18"/>
        <v>22200</v>
      </c>
      <c r="L26" s="11">
        <f t="shared" si="18"/>
        <v>22200</v>
      </c>
      <c r="M26" s="11">
        <f t="shared" si="18"/>
        <v>22200</v>
      </c>
      <c r="N26" s="11">
        <f t="shared" si="18"/>
        <v>22200</v>
      </c>
      <c r="O26" s="47">
        <f t="shared" si="10"/>
        <v>249750</v>
      </c>
    </row>
    <row r="27" spans="2:15">
      <c r="B27" s="10" t="s">
        <v>49</v>
      </c>
      <c r="C27" s="11">
        <f>Предположения!D51*Предположения!D41</f>
        <v>12000</v>
      </c>
      <c r="D27" s="11">
        <f>Предположения!D6*Предположения!D7*Предположения!D8*Предположения!D10*Предположения!D41*75%</f>
        <v>18000</v>
      </c>
      <c r="E27" s="11">
        <f>Предположения!D6*Предположения!D7*Предположения!D8*Предположения!D10*Предположения!D41/3</f>
        <v>8000</v>
      </c>
      <c r="F27" s="11">
        <f>E27/2</f>
        <v>4000</v>
      </c>
      <c r="G27" s="11">
        <f t="shared" ref="F27:N27" si="19">F27</f>
        <v>4000</v>
      </c>
      <c r="H27" s="11">
        <f t="shared" si="19"/>
        <v>4000</v>
      </c>
      <c r="I27" s="11">
        <f t="shared" si="19"/>
        <v>4000</v>
      </c>
      <c r="J27" s="11">
        <f t="shared" si="19"/>
        <v>4000</v>
      </c>
      <c r="K27" s="11">
        <f t="shared" si="19"/>
        <v>4000</v>
      </c>
      <c r="L27" s="11">
        <f t="shared" si="19"/>
        <v>4000</v>
      </c>
      <c r="M27" s="11">
        <f t="shared" si="19"/>
        <v>4000</v>
      </c>
      <c r="N27" s="11">
        <f t="shared" si="19"/>
        <v>4000</v>
      </c>
      <c r="O27" s="47">
        <f t="shared" si="10"/>
        <v>74000</v>
      </c>
    </row>
    <row r="28" spans="2:15">
      <c r="B28" s="10" t="s">
        <v>68</v>
      </c>
      <c r="C28" s="11">
        <f>(C25+C26+C27)*10%</f>
        <v>4810</v>
      </c>
      <c r="D28" s="11">
        <f t="shared" ref="D28:N28" si="20">(D25+D26+D27)*10%</f>
        <v>7215</v>
      </c>
      <c r="E28" s="11">
        <f t="shared" si="20"/>
        <v>8020</v>
      </c>
      <c r="F28" s="11">
        <f t="shared" si="20"/>
        <v>7620</v>
      </c>
      <c r="G28" s="11">
        <f t="shared" si="20"/>
        <v>7620</v>
      </c>
      <c r="H28" s="11">
        <f t="shared" si="20"/>
        <v>7620</v>
      </c>
      <c r="I28" s="11">
        <f t="shared" si="20"/>
        <v>7620</v>
      </c>
      <c r="J28" s="11">
        <f t="shared" si="20"/>
        <v>7620</v>
      </c>
      <c r="K28" s="11">
        <f t="shared" si="20"/>
        <v>7620</v>
      </c>
      <c r="L28" s="11">
        <f t="shared" si="20"/>
        <v>7620</v>
      </c>
      <c r="M28" s="11">
        <f t="shared" si="20"/>
        <v>7620</v>
      </c>
      <c r="N28" s="11">
        <f t="shared" si="20"/>
        <v>7620</v>
      </c>
      <c r="O28" s="47">
        <f t="shared" si="10"/>
        <v>88625</v>
      </c>
    </row>
    <row r="29" spans="2:15" s="23" customFormat="1">
      <c r="B29" s="29" t="s">
        <v>50</v>
      </c>
      <c r="C29" s="30">
        <f t="shared" ref="C29:N29" si="21">C13-C16</f>
        <v>-202150.95</v>
      </c>
      <c r="D29" s="30">
        <f t="shared" si="21"/>
        <v>-30595.950000000012</v>
      </c>
      <c r="E29" s="30">
        <f t="shared" si="21"/>
        <v>25549.049999999988</v>
      </c>
      <c r="F29" s="30">
        <f t="shared" si="21"/>
        <v>104949.04999999999</v>
      </c>
      <c r="G29" s="30">
        <f t="shared" si="21"/>
        <v>104949.04999999999</v>
      </c>
      <c r="H29" s="30">
        <f t="shared" si="21"/>
        <v>104949.04999999999</v>
      </c>
      <c r="I29" s="30">
        <f t="shared" si="21"/>
        <v>104949.04999999999</v>
      </c>
      <c r="J29" s="30">
        <f t="shared" si="21"/>
        <v>104949.04999999999</v>
      </c>
      <c r="K29" s="30">
        <f t="shared" si="21"/>
        <v>104949.04999999999</v>
      </c>
      <c r="L29" s="30">
        <f t="shared" si="21"/>
        <v>104949.04999999999</v>
      </c>
      <c r="M29" s="30">
        <f t="shared" si="21"/>
        <v>104949.04999999999</v>
      </c>
      <c r="N29" s="30">
        <f t="shared" si="21"/>
        <v>104949.04999999999</v>
      </c>
      <c r="O29" s="30">
        <f t="shared" si="10"/>
        <v>737343.59999999986</v>
      </c>
    </row>
    <row r="30" spans="2:15" s="3" customFormat="1" hidden="1" outlineLevel="1">
      <c r="B30" s="3" t="s">
        <v>51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48"/>
    </row>
    <row r="31" spans="2:15" s="22" customFormat="1" hidden="1" outlineLevel="1">
      <c r="B31" s="27" t="s">
        <v>57</v>
      </c>
      <c r="C31" s="28">
        <f>C32</f>
        <v>575000</v>
      </c>
      <c r="D31" s="28">
        <f t="shared" ref="D31:N31" si="22">D32</f>
        <v>0</v>
      </c>
      <c r="E31" s="28">
        <f t="shared" si="22"/>
        <v>0</v>
      </c>
      <c r="F31" s="28">
        <f t="shared" si="22"/>
        <v>0</v>
      </c>
      <c r="G31" s="28">
        <f t="shared" si="22"/>
        <v>0</v>
      </c>
      <c r="H31" s="28">
        <f t="shared" si="22"/>
        <v>0</v>
      </c>
      <c r="I31" s="28">
        <f t="shared" si="22"/>
        <v>0</v>
      </c>
      <c r="J31" s="28">
        <f t="shared" si="22"/>
        <v>0</v>
      </c>
      <c r="K31" s="28">
        <f t="shared" si="22"/>
        <v>0</v>
      </c>
      <c r="L31" s="28">
        <f t="shared" si="22"/>
        <v>0</v>
      </c>
      <c r="M31" s="28">
        <f t="shared" si="22"/>
        <v>0</v>
      </c>
      <c r="N31" s="28">
        <f t="shared" si="22"/>
        <v>0</v>
      </c>
      <c r="O31" s="30">
        <f t="shared" si="10"/>
        <v>575000</v>
      </c>
    </row>
    <row r="32" spans="2:15" hidden="1" outlineLevel="1">
      <c r="B32" s="10" t="s">
        <v>97</v>
      </c>
      <c r="C32" s="34">
        <f>Предположения!D19</f>
        <v>575000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47">
        <f t="shared" si="10"/>
        <v>575000</v>
      </c>
    </row>
    <row r="33" spans="2:15" s="22" customFormat="1" hidden="1" outlineLevel="1">
      <c r="B33" s="27" t="s">
        <v>52</v>
      </c>
      <c r="C33" s="28">
        <f>C34+C35</f>
        <v>0</v>
      </c>
      <c r="D33" s="28">
        <f t="shared" ref="D33:N33" si="23">D34+D35</f>
        <v>0</v>
      </c>
      <c r="E33" s="28">
        <f t="shared" si="23"/>
        <v>0</v>
      </c>
      <c r="F33" s="28">
        <f t="shared" si="23"/>
        <v>0</v>
      </c>
      <c r="G33" s="28">
        <f t="shared" si="23"/>
        <v>0</v>
      </c>
      <c r="H33" s="28">
        <f t="shared" si="23"/>
        <v>0</v>
      </c>
      <c r="I33" s="28">
        <f t="shared" si="23"/>
        <v>0</v>
      </c>
      <c r="J33" s="28">
        <f t="shared" si="23"/>
        <v>0</v>
      </c>
      <c r="K33" s="28">
        <f t="shared" si="23"/>
        <v>0</v>
      </c>
      <c r="L33" s="28">
        <f t="shared" si="23"/>
        <v>0</v>
      </c>
      <c r="M33" s="28">
        <f t="shared" si="23"/>
        <v>0</v>
      </c>
      <c r="N33" s="28">
        <f t="shared" si="23"/>
        <v>0</v>
      </c>
      <c r="O33" s="30">
        <f t="shared" si="10"/>
        <v>0</v>
      </c>
    </row>
    <row r="34" spans="2:15" hidden="1" outlineLevel="1">
      <c r="B34" s="10" t="s">
        <v>53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7">
        <f t="shared" si="10"/>
        <v>0</v>
      </c>
    </row>
    <row r="35" spans="2:15" hidden="1" outlineLevel="1">
      <c r="B35" s="10" t="s">
        <v>54</v>
      </c>
      <c r="C35" s="11"/>
      <c r="D35" s="11">
        <f>$C$32*Предположения!$D$20/12</f>
        <v>0</v>
      </c>
      <c r="E35" s="11">
        <f>$C$32*Предположения!$D$20/12</f>
        <v>0</v>
      </c>
      <c r="F35" s="11">
        <f>$C$32*Предположения!$D$20/12</f>
        <v>0</v>
      </c>
      <c r="G35" s="11">
        <f>$C$32*Предположения!$D$20/12</f>
        <v>0</v>
      </c>
      <c r="H35" s="11">
        <f>$C$32*Предположения!$D$20/12</f>
        <v>0</v>
      </c>
      <c r="I35" s="11">
        <f>$C$32*Предположения!$D$20/12</f>
        <v>0</v>
      </c>
      <c r="J35" s="11">
        <f>$C$32*Предположения!$D$20/12</f>
        <v>0</v>
      </c>
      <c r="K35" s="11">
        <f>$C$32*Предположения!$D$20/12</f>
        <v>0</v>
      </c>
      <c r="L35" s="11">
        <f>$C$32*Предположения!$D$20/12</f>
        <v>0</v>
      </c>
      <c r="M35" s="11">
        <f>$C$32*Предположения!$D$20/12</f>
        <v>0</v>
      </c>
      <c r="N35" s="11">
        <f>$C$32*Предположения!$D$20/12</f>
        <v>0</v>
      </c>
      <c r="O35" s="47">
        <f t="shared" si="10"/>
        <v>0</v>
      </c>
    </row>
    <row r="36" spans="2:15" s="23" customFormat="1" hidden="1" outlineLevel="1">
      <c r="B36" s="29" t="s">
        <v>55</v>
      </c>
      <c r="C36" s="30">
        <f>C31-C33</f>
        <v>575000</v>
      </c>
      <c r="D36" s="30">
        <f t="shared" ref="D36:N36" si="24">D31-D33</f>
        <v>0</v>
      </c>
      <c r="E36" s="30">
        <f t="shared" si="24"/>
        <v>0</v>
      </c>
      <c r="F36" s="30">
        <f t="shared" si="24"/>
        <v>0</v>
      </c>
      <c r="G36" s="30">
        <f t="shared" si="24"/>
        <v>0</v>
      </c>
      <c r="H36" s="30">
        <f t="shared" si="24"/>
        <v>0</v>
      </c>
      <c r="I36" s="30">
        <f t="shared" si="24"/>
        <v>0</v>
      </c>
      <c r="J36" s="30">
        <f t="shared" si="24"/>
        <v>0</v>
      </c>
      <c r="K36" s="30">
        <f t="shared" si="24"/>
        <v>0</v>
      </c>
      <c r="L36" s="30">
        <f t="shared" si="24"/>
        <v>0</v>
      </c>
      <c r="M36" s="30">
        <f t="shared" si="24"/>
        <v>0</v>
      </c>
      <c r="N36" s="30">
        <f t="shared" si="24"/>
        <v>0</v>
      </c>
      <c r="O36" s="30">
        <f t="shared" si="10"/>
        <v>575000</v>
      </c>
    </row>
    <row r="37" spans="2:15" s="3" customFormat="1" hidden="1" outlineLevel="1">
      <c r="B37" s="3" t="s">
        <v>56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48"/>
    </row>
    <row r="38" spans="2:15" s="22" customFormat="1" hidden="1" outlineLevel="1">
      <c r="B38" s="27" t="s">
        <v>58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30">
        <f t="shared" si="10"/>
        <v>0</v>
      </c>
    </row>
    <row r="39" spans="2:15" s="22" customFormat="1" hidden="1" outlineLevel="1">
      <c r="B39" s="27" t="s">
        <v>59</v>
      </c>
      <c r="C39" s="28">
        <f>C40+C41+C42</f>
        <v>337800</v>
      </c>
      <c r="D39" s="28">
        <f t="shared" ref="D39:N39" si="25">D40+D41</f>
        <v>0</v>
      </c>
      <c r="E39" s="28">
        <f t="shared" si="25"/>
        <v>0</v>
      </c>
      <c r="F39" s="28">
        <f t="shared" si="25"/>
        <v>0</v>
      </c>
      <c r="G39" s="28">
        <f t="shared" si="25"/>
        <v>0</v>
      </c>
      <c r="H39" s="28">
        <f t="shared" si="25"/>
        <v>0</v>
      </c>
      <c r="I39" s="28">
        <f t="shared" si="25"/>
        <v>0</v>
      </c>
      <c r="J39" s="28">
        <f t="shared" si="25"/>
        <v>0</v>
      </c>
      <c r="K39" s="28">
        <f t="shared" si="25"/>
        <v>0</v>
      </c>
      <c r="L39" s="28">
        <f t="shared" si="25"/>
        <v>0</v>
      </c>
      <c r="M39" s="28">
        <f t="shared" si="25"/>
        <v>0</v>
      </c>
      <c r="N39" s="28">
        <f t="shared" si="25"/>
        <v>0</v>
      </c>
      <c r="O39" s="30">
        <f t="shared" si="10"/>
        <v>337800</v>
      </c>
    </row>
    <row r="40" spans="2:15" hidden="1" outlineLevel="1">
      <c r="B40" s="10" t="s">
        <v>60</v>
      </c>
      <c r="C40" s="11">
        <f>Предположения!D54</f>
        <v>109800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47">
        <f t="shared" si="10"/>
        <v>109800</v>
      </c>
    </row>
    <row r="41" spans="2:15" hidden="1" outlineLevel="1">
      <c r="B41" s="10" t="s">
        <v>61</v>
      </c>
      <c r="C41" s="11">
        <f>Предположения!D61</f>
        <v>2000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47">
        <f t="shared" si="10"/>
        <v>2000</v>
      </c>
    </row>
    <row r="42" spans="2:15" hidden="1" outlineLevel="1">
      <c r="B42" s="10" t="s">
        <v>85</v>
      </c>
      <c r="C42" s="11">
        <f>Предположения!D22</f>
        <v>226000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7">
        <f t="shared" si="10"/>
        <v>226000</v>
      </c>
    </row>
    <row r="43" spans="2:15" s="23" customFormat="1" hidden="1" outlineLevel="1">
      <c r="B43" s="29" t="s">
        <v>62</v>
      </c>
      <c r="C43" s="30">
        <f>C38-C39</f>
        <v>-337800</v>
      </c>
      <c r="D43" s="30">
        <f t="shared" ref="D43:N43" si="26">D38-D39</f>
        <v>0</v>
      </c>
      <c r="E43" s="30">
        <f t="shared" si="26"/>
        <v>0</v>
      </c>
      <c r="F43" s="30">
        <f t="shared" si="26"/>
        <v>0</v>
      </c>
      <c r="G43" s="30">
        <f t="shared" si="26"/>
        <v>0</v>
      </c>
      <c r="H43" s="30">
        <f t="shared" si="26"/>
        <v>0</v>
      </c>
      <c r="I43" s="30">
        <f t="shared" si="26"/>
        <v>0</v>
      </c>
      <c r="J43" s="30">
        <f t="shared" si="26"/>
        <v>0</v>
      </c>
      <c r="K43" s="30">
        <f t="shared" si="26"/>
        <v>0</v>
      </c>
      <c r="L43" s="30">
        <f t="shared" si="26"/>
        <v>0</v>
      </c>
      <c r="M43" s="30">
        <f t="shared" si="26"/>
        <v>0</v>
      </c>
      <c r="N43" s="30">
        <f t="shared" si="26"/>
        <v>0</v>
      </c>
      <c r="O43" s="30">
        <f t="shared" si="10"/>
        <v>-337800</v>
      </c>
    </row>
    <row r="44" spans="2:15" collapsed="1"/>
  </sheetData>
  <sheetProtection password="C675" sheet="1" objects="1" scenarios="1"/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1:O3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40" sqref="N40"/>
    </sheetView>
  </sheetViews>
  <sheetFormatPr defaultRowHeight="12.75"/>
  <cols>
    <col min="1" max="1" width="3.7109375" style="1" customWidth="1"/>
    <col min="2" max="2" width="36.42578125" style="1" customWidth="1"/>
    <col min="3" max="15" width="10.7109375" style="8" customWidth="1"/>
    <col min="16" max="16384" width="9.140625" style="1"/>
  </cols>
  <sheetData>
    <row r="1" spans="2:15" s="2" customFormat="1" ht="15.75">
      <c r="B1" s="2" t="s">
        <v>35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4" spans="2:15" s="21" customFormat="1">
      <c r="B4" s="25" t="s">
        <v>36</v>
      </c>
      <c r="C4" s="26" t="s">
        <v>98</v>
      </c>
      <c r="D4" s="26" t="s">
        <v>99</v>
      </c>
      <c r="E4" s="26" t="s">
        <v>100</v>
      </c>
      <c r="F4" s="26" t="s">
        <v>101</v>
      </c>
      <c r="G4" s="26" t="s">
        <v>102</v>
      </c>
      <c r="H4" s="26" t="s">
        <v>103</v>
      </c>
      <c r="I4" s="26" t="s">
        <v>104</v>
      </c>
      <c r="J4" s="26" t="s">
        <v>105</v>
      </c>
      <c r="K4" s="26" t="s">
        <v>106</v>
      </c>
      <c r="L4" s="26" t="s">
        <v>107</v>
      </c>
      <c r="M4" s="26" t="s">
        <v>108</v>
      </c>
      <c r="N4" s="26" t="s">
        <v>109</v>
      </c>
      <c r="O4" s="26" t="s">
        <v>86</v>
      </c>
    </row>
    <row r="5" spans="2:15" s="22" customFormat="1">
      <c r="B5" s="27" t="s">
        <v>72</v>
      </c>
      <c r="C5" s="28">
        <f>Предположения!D48*Предположения!D45</f>
        <v>0</v>
      </c>
      <c r="D5" s="28">
        <f>Предположения!D6*Предположения!D7*Предположения!D8*Предположения!D10*Предположения!D11*50%</f>
        <v>150000</v>
      </c>
      <c r="E5" s="28">
        <f>Предположения!D6*Предположения!D7*Предположения!D8*Предположения!D10*Предположения!D11*75%</f>
        <v>225000</v>
      </c>
      <c r="F5" s="28">
        <f>Предположения!D6*Предположения!D7*Предположения!D8*Предположения!D10*Предположения!D11</f>
        <v>300000</v>
      </c>
      <c r="G5" s="28">
        <f>F5</f>
        <v>300000</v>
      </c>
      <c r="H5" s="28">
        <f t="shared" ref="H5" si="0">G5</f>
        <v>300000</v>
      </c>
      <c r="I5" s="28">
        <f t="shared" ref="I5" si="1">H5</f>
        <v>300000</v>
      </c>
      <c r="J5" s="28">
        <f t="shared" ref="J5" si="2">I5</f>
        <v>300000</v>
      </c>
      <c r="K5" s="28">
        <f t="shared" ref="K5" si="3">J5</f>
        <v>300000</v>
      </c>
      <c r="L5" s="28">
        <f t="shared" ref="L5" si="4">K5</f>
        <v>300000</v>
      </c>
      <c r="M5" s="28">
        <f t="shared" ref="M5" si="5">L5</f>
        <v>300000</v>
      </c>
      <c r="N5" s="28">
        <f t="shared" ref="N5" si="6">M5</f>
        <v>300000</v>
      </c>
      <c r="O5" s="28">
        <f>SUM(C5:N5)</f>
        <v>3075000</v>
      </c>
    </row>
    <row r="6" spans="2:15">
      <c r="B6" s="10" t="s">
        <v>73</v>
      </c>
      <c r="C6" s="11">
        <v>0</v>
      </c>
      <c r="D6" s="11">
        <f>D5/(1+Предположения!$D$13)</f>
        <v>25000</v>
      </c>
      <c r="E6" s="11">
        <f>E5/(1+Предположения!$D$13)</f>
        <v>37500</v>
      </c>
      <c r="F6" s="11">
        <f>F5/(1+Предположения!$D$13)</f>
        <v>50000</v>
      </c>
      <c r="G6" s="11">
        <f>G5/(1+Предположения!$D$13)</f>
        <v>50000</v>
      </c>
      <c r="H6" s="11">
        <f>H5/(1+Предположения!$D$13)</f>
        <v>50000</v>
      </c>
      <c r="I6" s="11">
        <f>I5/(1+Предположения!$D$13)</f>
        <v>50000</v>
      </c>
      <c r="J6" s="11">
        <f>J5/(1+Предположения!$D$13)</f>
        <v>50000</v>
      </c>
      <c r="K6" s="11">
        <f>K5/(1+Предположения!$D$13)</f>
        <v>50000</v>
      </c>
      <c r="L6" s="11">
        <f>L5/(1+Предположения!$D$13)</f>
        <v>50000</v>
      </c>
      <c r="M6" s="11">
        <f>M5/(1+Предположения!$D$13)</f>
        <v>50000</v>
      </c>
      <c r="N6" s="11">
        <f>N5/(1+Предположения!$D$13)</f>
        <v>50000</v>
      </c>
      <c r="O6" s="11">
        <f>SUM(C6:N6)</f>
        <v>512500</v>
      </c>
    </row>
    <row r="7" spans="2:15" s="22" customFormat="1">
      <c r="B7" s="27" t="s">
        <v>74</v>
      </c>
      <c r="C7" s="28">
        <f>C5-C6</f>
        <v>0</v>
      </c>
      <c r="D7" s="28">
        <f t="shared" ref="D7:N7" si="7">D5-D6</f>
        <v>125000</v>
      </c>
      <c r="E7" s="28">
        <f t="shared" si="7"/>
        <v>187500</v>
      </c>
      <c r="F7" s="28">
        <f t="shared" si="7"/>
        <v>250000</v>
      </c>
      <c r="G7" s="28">
        <f t="shared" si="7"/>
        <v>250000</v>
      </c>
      <c r="H7" s="28">
        <f t="shared" si="7"/>
        <v>250000</v>
      </c>
      <c r="I7" s="28">
        <f t="shared" si="7"/>
        <v>250000</v>
      </c>
      <c r="J7" s="28">
        <f t="shared" si="7"/>
        <v>250000</v>
      </c>
      <c r="K7" s="28">
        <f t="shared" si="7"/>
        <v>250000</v>
      </c>
      <c r="L7" s="28">
        <f t="shared" si="7"/>
        <v>250000</v>
      </c>
      <c r="M7" s="28">
        <f t="shared" si="7"/>
        <v>250000</v>
      </c>
      <c r="N7" s="28">
        <f t="shared" si="7"/>
        <v>250000</v>
      </c>
      <c r="O7" s="28">
        <f>SUM(C7:N7)</f>
        <v>2562500</v>
      </c>
    </row>
    <row r="9" spans="2:15" s="22" customFormat="1">
      <c r="B9" s="27" t="s">
        <v>75</v>
      </c>
      <c r="C9" s="28">
        <f>SUM(C10:C11)</f>
        <v>41600</v>
      </c>
      <c r="D9" s="28">
        <f t="shared" ref="D9:N9" si="8">SUM(D10:D11)</f>
        <v>41600</v>
      </c>
      <c r="E9" s="28">
        <f t="shared" si="8"/>
        <v>41600</v>
      </c>
      <c r="F9" s="28">
        <f t="shared" si="8"/>
        <v>41600</v>
      </c>
      <c r="G9" s="28">
        <f t="shared" si="8"/>
        <v>41600</v>
      </c>
      <c r="H9" s="28">
        <f t="shared" si="8"/>
        <v>41600</v>
      </c>
      <c r="I9" s="28">
        <f t="shared" si="8"/>
        <v>41600</v>
      </c>
      <c r="J9" s="28">
        <f t="shared" si="8"/>
        <v>41600</v>
      </c>
      <c r="K9" s="28">
        <f t="shared" si="8"/>
        <v>41600</v>
      </c>
      <c r="L9" s="28">
        <f t="shared" si="8"/>
        <v>41600</v>
      </c>
      <c r="M9" s="28">
        <f t="shared" si="8"/>
        <v>41600</v>
      </c>
      <c r="N9" s="28">
        <f t="shared" si="8"/>
        <v>41600</v>
      </c>
      <c r="O9" s="28">
        <f>SUM(C9:N9)</f>
        <v>499200</v>
      </c>
    </row>
    <row r="10" spans="2:15">
      <c r="B10" s="10" t="s">
        <v>40</v>
      </c>
      <c r="C10" s="11">
        <f>Предположения!D28</f>
        <v>32000</v>
      </c>
      <c r="D10" s="11">
        <f>C10</f>
        <v>32000</v>
      </c>
      <c r="E10" s="11">
        <f t="shared" ref="E10:N10" si="9">D10</f>
        <v>32000</v>
      </c>
      <c r="F10" s="11">
        <f t="shared" si="9"/>
        <v>32000</v>
      </c>
      <c r="G10" s="11">
        <f t="shared" si="9"/>
        <v>32000</v>
      </c>
      <c r="H10" s="11">
        <f t="shared" si="9"/>
        <v>32000</v>
      </c>
      <c r="I10" s="11">
        <f t="shared" si="9"/>
        <v>32000</v>
      </c>
      <c r="J10" s="11">
        <f t="shared" si="9"/>
        <v>32000</v>
      </c>
      <c r="K10" s="11">
        <f t="shared" si="9"/>
        <v>32000</v>
      </c>
      <c r="L10" s="11">
        <f t="shared" si="9"/>
        <v>32000</v>
      </c>
      <c r="M10" s="11">
        <f t="shared" si="9"/>
        <v>32000</v>
      </c>
      <c r="N10" s="11">
        <f t="shared" si="9"/>
        <v>32000</v>
      </c>
      <c r="O10" s="11">
        <f t="shared" ref="O10:O23" si="10">SUM(C10:N10)</f>
        <v>384000</v>
      </c>
    </row>
    <row r="11" spans="2:15">
      <c r="B11" s="10" t="s">
        <v>6</v>
      </c>
      <c r="C11" s="11">
        <f>C10*30%</f>
        <v>9600</v>
      </c>
      <c r="D11" s="11">
        <f t="shared" ref="D11:N11" si="11">D10*30%</f>
        <v>9600</v>
      </c>
      <c r="E11" s="11">
        <f t="shared" si="11"/>
        <v>9600</v>
      </c>
      <c r="F11" s="11">
        <f t="shared" si="11"/>
        <v>9600</v>
      </c>
      <c r="G11" s="11">
        <f t="shared" si="11"/>
        <v>9600</v>
      </c>
      <c r="H11" s="11">
        <f t="shared" si="11"/>
        <v>9600</v>
      </c>
      <c r="I11" s="11">
        <f t="shared" si="11"/>
        <v>9600</v>
      </c>
      <c r="J11" s="11">
        <f t="shared" si="11"/>
        <v>9600</v>
      </c>
      <c r="K11" s="11">
        <f t="shared" si="11"/>
        <v>9600</v>
      </c>
      <c r="L11" s="11">
        <f t="shared" si="11"/>
        <v>9600</v>
      </c>
      <c r="M11" s="11">
        <f t="shared" si="11"/>
        <v>9600</v>
      </c>
      <c r="N11" s="11">
        <f t="shared" si="11"/>
        <v>9600</v>
      </c>
      <c r="O11" s="11">
        <f t="shared" si="10"/>
        <v>115200</v>
      </c>
    </row>
    <row r="12" spans="2:15" s="22" customFormat="1">
      <c r="B12" s="27" t="s">
        <v>76</v>
      </c>
      <c r="C12" s="28">
        <f>SUM(C15:C19)</f>
        <v>127100</v>
      </c>
      <c r="D12" s="28">
        <f t="shared" ref="D12:N12" si="12">SUM(D15:D19)</f>
        <v>87650</v>
      </c>
      <c r="E12" s="28">
        <f t="shared" si="12"/>
        <v>68400</v>
      </c>
      <c r="F12" s="28">
        <f t="shared" si="12"/>
        <v>79200</v>
      </c>
      <c r="G12" s="28">
        <f t="shared" si="12"/>
        <v>79200</v>
      </c>
      <c r="H12" s="28">
        <f t="shared" si="12"/>
        <v>79200</v>
      </c>
      <c r="I12" s="28">
        <f t="shared" si="12"/>
        <v>79200</v>
      </c>
      <c r="J12" s="28">
        <f t="shared" si="12"/>
        <v>79200</v>
      </c>
      <c r="K12" s="28">
        <f t="shared" si="12"/>
        <v>79200</v>
      </c>
      <c r="L12" s="28">
        <f t="shared" si="12"/>
        <v>79200</v>
      </c>
      <c r="M12" s="28">
        <f t="shared" si="12"/>
        <v>79200</v>
      </c>
      <c r="N12" s="28">
        <f t="shared" si="12"/>
        <v>64400</v>
      </c>
      <c r="O12" s="28">
        <f t="shared" si="10"/>
        <v>981150</v>
      </c>
    </row>
    <row r="13" spans="2:15">
      <c r="B13" s="10" t="s">
        <v>83</v>
      </c>
      <c r="C13" s="11">
        <f>БДДС!C20</f>
        <v>0</v>
      </c>
      <c r="D13" s="11">
        <f>БДДС!D20</f>
        <v>0</v>
      </c>
      <c r="E13" s="11">
        <f>БДДС!E20</f>
        <v>10000</v>
      </c>
      <c r="F13" s="11">
        <f>БДДС!F20</f>
        <v>10000</v>
      </c>
      <c r="G13" s="11">
        <f>БДДС!G20</f>
        <v>10000</v>
      </c>
      <c r="H13" s="11">
        <f>БДДС!H20</f>
        <v>10000</v>
      </c>
      <c r="I13" s="11">
        <f>БДДС!I20</f>
        <v>10000</v>
      </c>
      <c r="J13" s="11">
        <f>БДДС!J20</f>
        <v>10000</v>
      </c>
      <c r="K13" s="11">
        <f>БДДС!K20</f>
        <v>10000</v>
      </c>
      <c r="L13" s="11">
        <f>БДДС!L20</f>
        <v>10000</v>
      </c>
      <c r="M13" s="11">
        <f>БДДС!M20</f>
        <v>10000</v>
      </c>
      <c r="N13" s="11">
        <f>БДДС!N20</f>
        <v>10000</v>
      </c>
      <c r="O13" s="11">
        <f t="shared" si="10"/>
        <v>100000</v>
      </c>
    </row>
    <row r="14" spans="2:15">
      <c r="B14" s="10" t="s">
        <v>84</v>
      </c>
      <c r="C14" s="11">
        <f>БДДС!C21</f>
        <v>0</v>
      </c>
      <c r="D14" s="11">
        <f>БДДС!D21</f>
        <v>2990</v>
      </c>
      <c r="E14" s="11">
        <f>БДДС!E21</f>
        <v>2990</v>
      </c>
      <c r="F14" s="11">
        <f>БДДС!F21</f>
        <v>2990</v>
      </c>
      <c r="G14" s="11">
        <f>БДДС!G21</f>
        <v>2990</v>
      </c>
      <c r="H14" s="11">
        <f>БДДС!H21</f>
        <v>2990</v>
      </c>
      <c r="I14" s="11">
        <f>БДДС!I21</f>
        <v>2990</v>
      </c>
      <c r="J14" s="11">
        <f>БДДС!J21</f>
        <v>2990</v>
      </c>
      <c r="K14" s="11">
        <f>БДДС!K21</f>
        <v>2990</v>
      </c>
      <c r="L14" s="11">
        <f>БДДС!L21</f>
        <v>2990</v>
      </c>
      <c r="M14" s="11">
        <f>БДДС!M21</f>
        <v>2990</v>
      </c>
      <c r="N14" s="11">
        <f>БДДС!N21</f>
        <v>2990</v>
      </c>
      <c r="O14" s="11">
        <f t="shared" si="10"/>
        <v>32890</v>
      </c>
    </row>
    <row r="15" spans="2:15">
      <c r="B15" s="10" t="s">
        <v>48</v>
      </c>
      <c r="C15" s="11">
        <f>БДДС!C22</f>
        <v>102000</v>
      </c>
      <c r="D15" s="11">
        <f>БДДС!D22</f>
        <v>51000</v>
      </c>
      <c r="E15" s="11">
        <f>БДДС!E22</f>
        <v>51000</v>
      </c>
      <c r="F15" s="11">
        <f>БДДС!F22</f>
        <v>51000</v>
      </c>
      <c r="G15" s="11">
        <f>БДДС!G22</f>
        <v>51000</v>
      </c>
      <c r="H15" s="11">
        <f>БДДС!H22</f>
        <v>51000</v>
      </c>
      <c r="I15" s="11">
        <f>БДДС!I22</f>
        <v>51000</v>
      </c>
      <c r="J15" s="11">
        <f>БДДС!J22</f>
        <v>51000</v>
      </c>
      <c r="K15" s="11">
        <f>БДДС!K22</f>
        <v>51000</v>
      </c>
      <c r="L15" s="11">
        <f>БДДС!L22</f>
        <v>51000</v>
      </c>
      <c r="M15" s="11">
        <f>БДДС!M22</f>
        <v>51000</v>
      </c>
      <c r="N15" s="11">
        <f>БДДС!N22</f>
        <v>51000</v>
      </c>
      <c r="O15" s="11">
        <f t="shared" si="10"/>
        <v>663000</v>
      </c>
    </row>
    <row r="16" spans="2:15">
      <c r="B16" s="10" t="s">
        <v>44</v>
      </c>
      <c r="C16" s="11">
        <f>БДДС!C23</f>
        <v>1000</v>
      </c>
      <c r="D16" s="11">
        <f>БДДС!D23</f>
        <v>1000</v>
      </c>
      <c r="E16" s="11">
        <f>БДДС!E23</f>
        <v>1000</v>
      </c>
      <c r="F16" s="11">
        <f>БДДС!F23</f>
        <v>1000</v>
      </c>
      <c r="G16" s="11">
        <f>БДДС!G23</f>
        <v>1000</v>
      </c>
      <c r="H16" s="11">
        <f>БДДС!H23</f>
        <v>1000</v>
      </c>
      <c r="I16" s="11">
        <f>БДДС!I23</f>
        <v>1000</v>
      </c>
      <c r="J16" s="11">
        <f>БДДС!J23</f>
        <v>1000</v>
      </c>
      <c r="K16" s="11">
        <f>БДДС!K23</f>
        <v>1000</v>
      </c>
      <c r="L16" s="11">
        <f>БДДС!L23</f>
        <v>1000</v>
      </c>
      <c r="M16" s="11">
        <f>БДДС!M23</f>
        <v>1000</v>
      </c>
      <c r="N16" s="11">
        <f>БДДС!N23</f>
        <v>1000</v>
      </c>
      <c r="O16" s="11">
        <f t="shared" si="10"/>
        <v>12000</v>
      </c>
    </row>
    <row r="17" spans="2:15">
      <c r="B17" s="10" t="s">
        <v>47</v>
      </c>
      <c r="C17" s="11">
        <f>БДДС!C24</f>
        <v>1000</v>
      </c>
      <c r="D17" s="11">
        <f>БДДС!D24</f>
        <v>1000</v>
      </c>
      <c r="E17" s="11">
        <f>БДДС!E24</f>
        <v>1000</v>
      </c>
      <c r="F17" s="11">
        <f>БДДС!F24</f>
        <v>1000</v>
      </c>
      <c r="G17" s="11">
        <f>БДДС!G24</f>
        <v>1000</v>
      </c>
      <c r="H17" s="11">
        <f>БДДС!H24</f>
        <v>1000</v>
      </c>
      <c r="I17" s="11">
        <f>БДДС!I24</f>
        <v>1000</v>
      </c>
      <c r="J17" s="11">
        <f>БДДС!J24</f>
        <v>1000</v>
      </c>
      <c r="K17" s="11">
        <f>БДДС!K24</f>
        <v>1000</v>
      </c>
      <c r="L17" s="11">
        <f>БДДС!L24</f>
        <v>1000</v>
      </c>
      <c r="M17" s="11">
        <f>БДДС!M24</f>
        <v>1000</v>
      </c>
      <c r="N17" s="11">
        <f>БДДС!N24</f>
        <v>1000</v>
      </c>
      <c r="O17" s="11">
        <f t="shared" si="10"/>
        <v>12000</v>
      </c>
    </row>
    <row r="18" spans="2:15">
      <c r="B18" s="10" t="s">
        <v>43</v>
      </c>
      <c r="C18" s="11">
        <f>БДДС!C26</f>
        <v>11100</v>
      </c>
      <c r="D18" s="11">
        <f>БДДС!D26</f>
        <v>16650</v>
      </c>
      <c r="E18" s="11">
        <f>БДДС!E26/3</f>
        <v>7400</v>
      </c>
      <c r="F18" s="11">
        <f>БДДС!F26</f>
        <v>22200</v>
      </c>
      <c r="G18" s="11">
        <f>БДДС!G26</f>
        <v>22200</v>
      </c>
      <c r="H18" s="11">
        <f>БДДС!H26</f>
        <v>22200</v>
      </c>
      <c r="I18" s="11">
        <f>БДДС!I26</f>
        <v>22200</v>
      </c>
      <c r="J18" s="11">
        <f>БДДС!J26</f>
        <v>22200</v>
      </c>
      <c r="K18" s="11">
        <f>БДДС!K26</f>
        <v>22200</v>
      </c>
      <c r="L18" s="11">
        <f>БДДС!L26</f>
        <v>22200</v>
      </c>
      <c r="M18" s="11">
        <f>БДДС!M26</f>
        <v>22200</v>
      </c>
      <c r="N18" s="11">
        <f>БДДС!N26/3</f>
        <v>7400</v>
      </c>
      <c r="O18" s="11">
        <f t="shared" si="10"/>
        <v>220150</v>
      </c>
    </row>
    <row r="19" spans="2:15">
      <c r="B19" s="10" t="s">
        <v>49</v>
      </c>
      <c r="C19" s="11">
        <f>БДДС!C27</f>
        <v>12000</v>
      </c>
      <c r="D19" s="11">
        <f>БДДС!D27</f>
        <v>18000</v>
      </c>
      <c r="E19" s="11">
        <f>БДДС!E27</f>
        <v>8000</v>
      </c>
      <c r="F19" s="11">
        <f>БДДС!F27</f>
        <v>4000</v>
      </c>
      <c r="G19" s="11">
        <f>БДДС!G27</f>
        <v>4000</v>
      </c>
      <c r="H19" s="11">
        <f>БДДС!H27</f>
        <v>4000</v>
      </c>
      <c r="I19" s="11">
        <f>БДДС!I27</f>
        <v>4000</v>
      </c>
      <c r="J19" s="11">
        <f>БДДС!J27</f>
        <v>4000</v>
      </c>
      <c r="K19" s="11">
        <f>БДДС!K27</f>
        <v>4000</v>
      </c>
      <c r="L19" s="11">
        <f>БДДС!L27</f>
        <v>4000</v>
      </c>
      <c r="M19" s="11">
        <f>БДДС!M27</f>
        <v>4000</v>
      </c>
      <c r="N19" s="11">
        <f>БДДС!N27</f>
        <v>4000</v>
      </c>
      <c r="O19" s="11">
        <f t="shared" si="10"/>
        <v>74000</v>
      </c>
    </row>
    <row r="20" spans="2:15" s="22" customFormat="1">
      <c r="B20" s="27" t="s">
        <v>77</v>
      </c>
      <c r="C20" s="28">
        <f>C21-C22-C23</f>
        <v>-4810</v>
      </c>
      <c r="D20" s="28">
        <f t="shared" ref="D20:N20" si="13">D21-D22-D23</f>
        <v>-7215</v>
      </c>
      <c r="E20" s="28">
        <f t="shared" si="13"/>
        <v>-8020</v>
      </c>
      <c r="F20" s="28">
        <f t="shared" si="13"/>
        <v>0</v>
      </c>
      <c r="G20" s="28">
        <f t="shared" si="13"/>
        <v>0</v>
      </c>
      <c r="H20" s="28">
        <f t="shared" si="13"/>
        <v>0</v>
      </c>
      <c r="I20" s="28">
        <f t="shared" si="13"/>
        <v>0</v>
      </c>
      <c r="J20" s="28">
        <f t="shared" si="13"/>
        <v>0</v>
      </c>
      <c r="K20" s="28">
        <f t="shared" si="13"/>
        <v>0</v>
      </c>
      <c r="L20" s="28">
        <f t="shared" si="13"/>
        <v>0</v>
      </c>
      <c r="M20" s="28">
        <f t="shared" si="13"/>
        <v>0</v>
      </c>
      <c r="N20" s="28">
        <f t="shared" si="13"/>
        <v>0</v>
      </c>
      <c r="O20" s="28">
        <f t="shared" si="10"/>
        <v>-20045</v>
      </c>
    </row>
    <row r="21" spans="2:15">
      <c r="B21" s="10" t="s">
        <v>78</v>
      </c>
      <c r="C21" s="34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f t="shared" si="10"/>
        <v>0</v>
      </c>
    </row>
    <row r="22" spans="2:15">
      <c r="B22" s="10" t="s">
        <v>68</v>
      </c>
      <c r="C22" s="11">
        <f>БДДС!C28</f>
        <v>4810</v>
      </c>
      <c r="D22" s="11">
        <f>БДДС!D28</f>
        <v>7215</v>
      </c>
      <c r="E22" s="11">
        <f>БДДС!E28</f>
        <v>8020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f t="shared" si="10"/>
        <v>20045</v>
      </c>
    </row>
    <row r="23" spans="2:15">
      <c r="B23" s="10" t="s">
        <v>54</v>
      </c>
      <c r="C23" s="11">
        <f>БДДС!C35</f>
        <v>0</v>
      </c>
      <c r="D23" s="11">
        <f>БДДС!D35</f>
        <v>0</v>
      </c>
      <c r="E23" s="11">
        <f>БДДС!E35</f>
        <v>0</v>
      </c>
      <c r="F23" s="11">
        <f>БДДС!F35</f>
        <v>0</v>
      </c>
      <c r="G23" s="11">
        <f>БДДС!G35</f>
        <v>0</v>
      </c>
      <c r="H23" s="11">
        <f>БДДС!H35</f>
        <v>0</v>
      </c>
      <c r="I23" s="11">
        <f>БДДС!I35</f>
        <v>0</v>
      </c>
      <c r="J23" s="11">
        <f>БДДС!J35</f>
        <v>0</v>
      </c>
      <c r="K23" s="11">
        <f>БДДС!K35</f>
        <v>0</v>
      </c>
      <c r="L23" s="11">
        <f>БДДС!L35</f>
        <v>0</v>
      </c>
      <c r="M23" s="11">
        <f>БДДС!M35</f>
        <v>0</v>
      </c>
      <c r="N23" s="11">
        <f>БДДС!N35</f>
        <v>0</v>
      </c>
      <c r="O23" s="11">
        <f t="shared" si="10"/>
        <v>0</v>
      </c>
    </row>
    <row r="24" spans="2:15" s="22" customFormat="1">
      <c r="B24" s="27" t="s">
        <v>79</v>
      </c>
      <c r="C24" s="28">
        <f>C7-C9-C12+C20</f>
        <v>-173510</v>
      </c>
      <c r="D24" s="28">
        <f t="shared" ref="D24:N24" si="14">D7-D9-D12+D20</f>
        <v>-11465</v>
      </c>
      <c r="E24" s="28">
        <f t="shared" si="14"/>
        <v>69480</v>
      </c>
      <c r="F24" s="28">
        <f t="shared" si="14"/>
        <v>129200</v>
      </c>
      <c r="G24" s="28">
        <f t="shared" si="14"/>
        <v>129200</v>
      </c>
      <c r="H24" s="28">
        <f t="shared" si="14"/>
        <v>129200</v>
      </c>
      <c r="I24" s="28">
        <f t="shared" si="14"/>
        <v>129200</v>
      </c>
      <c r="J24" s="28">
        <f t="shared" si="14"/>
        <v>129200</v>
      </c>
      <c r="K24" s="28">
        <f t="shared" si="14"/>
        <v>129200</v>
      </c>
      <c r="L24" s="28">
        <f t="shared" si="14"/>
        <v>129200</v>
      </c>
      <c r="M24" s="28">
        <f t="shared" si="14"/>
        <v>129200</v>
      </c>
      <c r="N24" s="28">
        <f t="shared" si="14"/>
        <v>144000</v>
      </c>
      <c r="O24" s="28">
        <f>SUM(C24:N24)</f>
        <v>1062105</v>
      </c>
    </row>
    <row r="25" spans="2:15">
      <c r="B25" s="10" t="s">
        <v>7</v>
      </c>
      <c r="C25" s="11">
        <f>Предположения!D30</f>
        <v>3640.95</v>
      </c>
      <c r="D25" s="11">
        <f t="shared" ref="D25:N25" si="15">C25</f>
        <v>3640.95</v>
      </c>
      <c r="E25" s="11">
        <f t="shared" si="15"/>
        <v>3640.95</v>
      </c>
      <c r="F25" s="11">
        <f t="shared" si="15"/>
        <v>3640.95</v>
      </c>
      <c r="G25" s="11">
        <f t="shared" si="15"/>
        <v>3640.95</v>
      </c>
      <c r="H25" s="11">
        <f t="shared" si="15"/>
        <v>3640.95</v>
      </c>
      <c r="I25" s="11">
        <f t="shared" si="15"/>
        <v>3640.95</v>
      </c>
      <c r="J25" s="11">
        <f t="shared" si="15"/>
        <v>3640.95</v>
      </c>
      <c r="K25" s="11">
        <f t="shared" si="15"/>
        <v>3640.95</v>
      </c>
      <c r="L25" s="11">
        <f t="shared" si="15"/>
        <v>3640.95</v>
      </c>
      <c r="M25" s="11">
        <f t="shared" si="15"/>
        <v>3640.95</v>
      </c>
      <c r="N25" s="11">
        <f t="shared" si="15"/>
        <v>3640.95</v>
      </c>
      <c r="O25" s="11">
        <f>SUM(C25:N25)</f>
        <v>43691.399999999994</v>
      </c>
    </row>
    <row r="26" spans="2:15" s="23" customFormat="1">
      <c r="B26" s="29" t="s">
        <v>80</v>
      </c>
      <c r="C26" s="30">
        <f>C24-C25</f>
        <v>-177150.95</v>
      </c>
      <c r="D26" s="30">
        <f t="shared" ref="D26:O26" si="16">D24-D25</f>
        <v>-15105.95</v>
      </c>
      <c r="E26" s="30">
        <f t="shared" si="16"/>
        <v>65839.05</v>
      </c>
      <c r="F26" s="30">
        <f t="shared" si="16"/>
        <v>125559.05</v>
      </c>
      <c r="G26" s="30">
        <f t="shared" si="16"/>
        <v>125559.05</v>
      </c>
      <c r="H26" s="30">
        <f t="shared" si="16"/>
        <v>125559.05</v>
      </c>
      <c r="I26" s="30">
        <f t="shared" si="16"/>
        <v>125559.05</v>
      </c>
      <c r="J26" s="30">
        <f t="shared" si="16"/>
        <v>125559.05</v>
      </c>
      <c r="K26" s="30">
        <f t="shared" si="16"/>
        <v>125559.05</v>
      </c>
      <c r="L26" s="30">
        <f t="shared" si="16"/>
        <v>125559.05</v>
      </c>
      <c r="M26" s="30">
        <f t="shared" si="16"/>
        <v>125559.05</v>
      </c>
      <c r="N26" s="30">
        <f t="shared" si="16"/>
        <v>140359.04999999999</v>
      </c>
      <c r="O26" s="30">
        <f t="shared" si="16"/>
        <v>1018413.6</v>
      </c>
    </row>
    <row r="28" spans="2:15" s="22" customFormat="1">
      <c r="B28" s="27" t="s">
        <v>88</v>
      </c>
      <c r="C28" s="49"/>
      <c r="D28" s="49">
        <f t="shared" ref="D28:O28" si="17">D26/D6</f>
        <v>-0.60423800000000005</v>
      </c>
      <c r="E28" s="49">
        <f t="shared" si="17"/>
        <v>1.755708</v>
      </c>
      <c r="F28" s="49">
        <f t="shared" si="17"/>
        <v>2.5111810000000001</v>
      </c>
      <c r="G28" s="49">
        <f t="shared" si="17"/>
        <v>2.5111810000000001</v>
      </c>
      <c r="H28" s="49">
        <f t="shared" si="17"/>
        <v>2.5111810000000001</v>
      </c>
      <c r="I28" s="49">
        <f t="shared" si="17"/>
        <v>2.5111810000000001</v>
      </c>
      <c r="J28" s="49">
        <f t="shared" si="17"/>
        <v>2.5111810000000001</v>
      </c>
      <c r="K28" s="49">
        <f t="shared" si="17"/>
        <v>2.5111810000000001</v>
      </c>
      <c r="L28" s="49">
        <f t="shared" si="17"/>
        <v>2.5111810000000001</v>
      </c>
      <c r="M28" s="49">
        <f t="shared" si="17"/>
        <v>2.5111810000000001</v>
      </c>
      <c r="N28" s="49">
        <f t="shared" si="17"/>
        <v>2.8071809999999999</v>
      </c>
      <c r="O28" s="49">
        <f t="shared" si="17"/>
        <v>1.987148487804878</v>
      </c>
    </row>
    <row r="29" spans="2:15" s="22" customFormat="1">
      <c r="B29" s="27" t="s">
        <v>89</v>
      </c>
      <c r="C29" s="49"/>
      <c r="D29" s="49">
        <f t="shared" ref="D29:O29" si="18">D26/(D6+D9+D12-D20)</f>
        <v>-9.355556931842815E-2</v>
      </c>
      <c r="E29" s="49">
        <f t="shared" si="18"/>
        <v>0.42334780092592594</v>
      </c>
      <c r="F29" s="49">
        <f t="shared" si="18"/>
        <v>0.73512324355971903</v>
      </c>
      <c r="G29" s="49">
        <f t="shared" si="18"/>
        <v>0.73512324355971903</v>
      </c>
      <c r="H29" s="49">
        <f t="shared" si="18"/>
        <v>0.73512324355971903</v>
      </c>
      <c r="I29" s="49">
        <f t="shared" si="18"/>
        <v>0.73512324355971903</v>
      </c>
      <c r="J29" s="49">
        <f t="shared" si="18"/>
        <v>0.73512324355971903</v>
      </c>
      <c r="K29" s="49">
        <f t="shared" si="18"/>
        <v>0.73512324355971903</v>
      </c>
      <c r="L29" s="49">
        <f t="shared" si="18"/>
        <v>0.73512324355971903</v>
      </c>
      <c r="M29" s="49">
        <f t="shared" si="18"/>
        <v>0.73512324355971903</v>
      </c>
      <c r="N29" s="49">
        <f t="shared" si="18"/>
        <v>0.89973749999999997</v>
      </c>
      <c r="O29" s="49">
        <f t="shared" si="18"/>
        <v>0.50594472140871727</v>
      </c>
    </row>
    <row r="30" spans="2:15" s="22" customFormat="1">
      <c r="B30" s="27" t="s">
        <v>90</v>
      </c>
      <c r="C30" s="49"/>
      <c r="D30" s="49">
        <f t="shared" ref="D30:O30" si="19">D26/D5</f>
        <v>-0.10070633333333334</v>
      </c>
      <c r="E30" s="49">
        <f t="shared" si="19"/>
        <v>0.29261799999999999</v>
      </c>
      <c r="F30" s="49">
        <f t="shared" si="19"/>
        <v>0.4185301666666667</v>
      </c>
      <c r="G30" s="49">
        <f t="shared" si="19"/>
        <v>0.4185301666666667</v>
      </c>
      <c r="H30" s="49">
        <f t="shared" si="19"/>
        <v>0.4185301666666667</v>
      </c>
      <c r="I30" s="49">
        <f t="shared" si="19"/>
        <v>0.4185301666666667</v>
      </c>
      <c r="J30" s="49">
        <f t="shared" si="19"/>
        <v>0.4185301666666667</v>
      </c>
      <c r="K30" s="49">
        <f t="shared" si="19"/>
        <v>0.4185301666666667</v>
      </c>
      <c r="L30" s="49">
        <f t="shared" si="19"/>
        <v>0.4185301666666667</v>
      </c>
      <c r="M30" s="49">
        <f t="shared" si="19"/>
        <v>0.4185301666666667</v>
      </c>
      <c r="N30" s="49">
        <f t="shared" si="19"/>
        <v>0.46786349999999999</v>
      </c>
      <c r="O30" s="49">
        <f t="shared" si="19"/>
        <v>0.33119141463414631</v>
      </c>
    </row>
  </sheetData>
  <sheetProtection password="C67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Предположения</vt:lpstr>
      <vt:lpstr>БДДС</vt:lpstr>
      <vt:lpstr>БДР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Fedonin</dc:creator>
  <cp:lastModifiedBy>Пользователь</cp:lastModifiedBy>
  <dcterms:created xsi:type="dcterms:W3CDTF">2016-01-16T02:56:31Z</dcterms:created>
  <dcterms:modified xsi:type="dcterms:W3CDTF">2016-02-01T06:25:20Z</dcterms:modified>
</cp:coreProperties>
</file>