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95" activeTab="3"/>
  </bookViews>
  <sheets>
    <sheet name="Титул" sheetId="1" r:id="rId1"/>
    <sheet name="Затраты" sheetId="2" r:id="rId2"/>
    <sheet name="Продажи" sheetId="3" r:id="rId3"/>
    <sheet name="Прибыль_окупаемость" sheetId="4" r:id="rId4"/>
  </sheets>
  <calcPr calcId="124519"/>
</workbook>
</file>

<file path=xl/calcChain.xml><?xml version="1.0" encoding="utf-8"?>
<calcChain xmlns="http://schemas.openxmlformats.org/spreadsheetml/2006/main">
  <c r="F13" i="3"/>
  <c r="E13"/>
  <c r="D13"/>
  <c r="C13"/>
  <c r="B13"/>
  <c r="A20"/>
  <c r="A18"/>
  <c r="A12"/>
  <c r="A11"/>
  <c r="A19" s="1"/>
  <c r="A10"/>
  <c r="D4"/>
  <c r="D6" s="1"/>
  <c r="F20" s="1"/>
  <c r="C4"/>
  <c r="C6" s="1"/>
  <c r="E19" s="1"/>
  <c r="B4"/>
  <c r="B6" s="1"/>
  <c r="C18" s="1"/>
  <c r="G34" i="2"/>
  <c r="F20"/>
  <c r="F23" s="1"/>
  <c r="D19" i="3" l="1"/>
  <c r="B19"/>
  <c r="F19"/>
  <c r="E18"/>
  <c r="C20"/>
  <c r="E20"/>
  <c r="B18"/>
  <c r="D18"/>
  <c r="F18"/>
  <c r="C19"/>
  <c r="B20"/>
  <c r="D20"/>
  <c r="G25" i="2"/>
  <c r="B12" i="4" s="1"/>
  <c r="F14"/>
  <c r="G20" i="2"/>
  <c r="G23" s="1"/>
  <c r="G27" s="1"/>
  <c r="C6"/>
  <c r="F12" i="4" l="1"/>
  <c r="C12"/>
  <c r="G26" i="2"/>
  <c r="D12" i="4" s="1"/>
  <c r="G6" i="2"/>
  <c r="G8" s="1"/>
  <c r="F6"/>
  <c r="F8" s="1"/>
  <c r="F24" i="3"/>
  <c r="F4" i="4" s="1"/>
  <c r="C24" i="3"/>
  <c r="C4" i="4" s="1"/>
  <c r="E24" i="3"/>
  <c r="E4" i="4" s="1"/>
  <c r="E12" l="1"/>
  <c r="G9" i="2"/>
  <c r="B13" i="4" s="1"/>
  <c r="C13" s="1"/>
  <c r="D13" s="1"/>
  <c r="E13" s="1"/>
  <c r="F13" s="1"/>
  <c r="B17"/>
  <c r="F9" i="2"/>
  <c r="D24" i="3"/>
  <c r="D4" i="4" s="1"/>
  <c r="B24" i="3"/>
  <c r="B4" i="4" s="1"/>
  <c r="B5" s="1"/>
  <c r="E5"/>
  <c r="C5"/>
  <c r="F5"/>
  <c r="D5" l="1"/>
  <c r="D11" s="1"/>
  <c r="D15" s="1"/>
  <c r="F11"/>
  <c r="F15" s="1"/>
  <c r="E11"/>
  <c r="E15" s="1"/>
  <c r="C11"/>
  <c r="C15" s="1"/>
  <c r="B11" l="1"/>
  <c r="B15" s="1"/>
  <c r="B16" s="1"/>
  <c r="B18" s="1"/>
  <c r="B19" l="1"/>
  <c r="C16"/>
  <c r="C18" s="1"/>
  <c r="C19" l="1"/>
  <c r="D16"/>
  <c r="D18" s="1"/>
  <c r="D19" l="1"/>
  <c r="E16"/>
  <c r="E18" s="1"/>
  <c r="F16" l="1"/>
  <c r="F18" s="1"/>
</calcChain>
</file>

<file path=xl/sharedStrings.xml><?xml version="1.0" encoding="utf-8"?>
<sst xmlns="http://schemas.openxmlformats.org/spreadsheetml/2006/main" count="90" uniqueCount="75">
  <si>
    <t>Количество жителей в населенном пункте</t>
  </si>
  <si>
    <t>Средний размер арендных ставок</t>
  </si>
  <si>
    <t xml:space="preserve">Планируемый размер оклада </t>
  </si>
  <si>
    <t>Основные параметры Вашего проекта</t>
  </si>
  <si>
    <t>тыс.чел.</t>
  </si>
  <si>
    <t>руб./кв.м.</t>
  </si>
  <si>
    <t>ед.</t>
  </si>
  <si>
    <t xml:space="preserve">руб. </t>
  </si>
  <si>
    <t>Параметр</t>
  </si>
  <si>
    <t>Ед.изм.</t>
  </si>
  <si>
    <t>Значение</t>
  </si>
  <si>
    <t>Затраты на организацию бизнеса</t>
  </si>
  <si>
    <t>(в руб.)</t>
  </si>
  <si>
    <t>Регистрация юридического лица</t>
  </si>
  <si>
    <t>Паушальный взнос</t>
  </si>
  <si>
    <t xml:space="preserve">* базовый вариант предусматривает привлечение 1 менеджера, но Вы можете запланировать увеличение штата </t>
  </si>
  <si>
    <t>Подключение IP - телефонии</t>
  </si>
  <si>
    <t>Оборудование        (</t>
  </si>
  <si>
    <t>раб.места)</t>
  </si>
  <si>
    <t>Итого</t>
  </si>
  <si>
    <t>Ежемесячные затраты</t>
  </si>
  <si>
    <r>
      <t xml:space="preserve">* средний размер арендных ставок по объектам коммерческой недвижимости (офисных помещений </t>
    </r>
    <r>
      <rPr>
        <sz val="9"/>
        <color theme="1"/>
        <rFont val="Calibri"/>
        <family val="2"/>
        <charset val="204"/>
      </rPr>
      <t>≈ 30 кв.м.</t>
    </r>
    <r>
      <rPr>
        <sz val="9"/>
        <color theme="1"/>
        <rFont val="Calibri"/>
        <family val="2"/>
        <charset val="204"/>
        <scheme val="minor"/>
      </rPr>
      <t>) в Вашем регионе</t>
    </r>
  </si>
  <si>
    <t>Аренда офиса</t>
  </si>
  <si>
    <t>Реклама в интернете (Яндекс, Google)</t>
  </si>
  <si>
    <t>Маркетинг и реклама</t>
  </si>
  <si>
    <t>Интернет-телефония</t>
  </si>
  <si>
    <t>РКО банка</t>
  </si>
  <si>
    <t>Бухгалтерия</t>
  </si>
  <si>
    <t>Офисные и пр. расходы</t>
  </si>
  <si>
    <t>Прочие затраты (раз в год)</t>
  </si>
  <si>
    <t>Ремонт оборудования/расходники</t>
  </si>
  <si>
    <t>Подарки менеджерам (ДР, праздники)</t>
  </si>
  <si>
    <t>План продаж</t>
  </si>
  <si>
    <t>1 месяц</t>
  </si>
  <si>
    <t>2 месяц</t>
  </si>
  <si>
    <t>3 месяц</t>
  </si>
  <si>
    <t>4 месяц</t>
  </si>
  <si>
    <t>5 месяц</t>
  </si>
  <si>
    <t>План выручки</t>
  </si>
  <si>
    <t>Выручка</t>
  </si>
  <si>
    <t>(-) Налог (УСН: доходы 6%)</t>
  </si>
  <si>
    <t>(=) Валовая прибыль</t>
  </si>
  <si>
    <t>(-) Ежемесячные затраты</t>
  </si>
  <si>
    <t>(-) Списание оргзатрат</t>
  </si>
  <si>
    <t>(-) Фонд затрат (годовых)</t>
  </si>
  <si>
    <t>(=) Чистая прибыль</t>
  </si>
  <si>
    <t>Списание оргзатрат (в месяц за 5 мес.)</t>
  </si>
  <si>
    <t>(=) Чистая прибыль нарастающим итогом</t>
  </si>
  <si>
    <t>План финансовых результатов и прибыли</t>
  </si>
  <si>
    <t>min</t>
  </si>
  <si>
    <t>max</t>
  </si>
  <si>
    <t>Инвестзатраты</t>
  </si>
  <si>
    <t>Окупаемость (в месяцах)</t>
  </si>
  <si>
    <t>Населен.пункт</t>
  </si>
  <si>
    <t>Усредненные параметры</t>
  </si>
  <si>
    <t>Прогнозируемый уровнь затрат для Вашего Проекта</t>
  </si>
  <si>
    <t>до 500 тыс.</t>
  </si>
  <si>
    <t>свыше 500 тыс.</t>
  </si>
  <si>
    <t xml:space="preserve">Прочие затраты  </t>
  </si>
  <si>
    <t>Виды продуктов</t>
  </si>
  <si>
    <t>Тендерный займ</t>
  </si>
  <si>
    <t>Банковская гарантия</t>
  </si>
  <si>
    <t>Кредит на исполнение обязательств</t>
  </si>
  <si>
    <t>Средняя стоимость тендерной зявки (руб.)</t>
  </si>
  <si>
    <t>Средняя валовая сумма продукта (руб.)</t>
  </si>
  <si>
    <t>Роялти</t>
  </si>
  <si>
    <t xml:space="preserve">Выручка с 1 ед. продукта </t>
  </si>
  <si>
    <t>ФОТ с отчислениями</t>
  </si>
  <si>
    <t>Итого сделок</t>
  </si>
  <si>
    <t>Планируемое кол-во сотрудников*</t>
  </si>
  <si>
    <t>Средний размер агентского вознаграждения (%)*</t>
  </si>
  <si>
    <t>*цифры усреднены так как расчитываются для каждого банка партнера отдельно по сложным формулам</t>
  </si>
  <si>
    <t>Минимальный (для совершения до 15 сделок)</t>
  </si>
  <si>
    <t>Средний (для совершения 16-24 сделок в месяц)</t>
  </si>
  <si>
    <t>Максимальный (для совершения свыше 24 сделок)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</si>
</sst>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/>
    <xf numFmtId="3" fontId="1" fillId="3" borderId="30" xfId="0" applyNumberFormat="1" applyFont="1" applyFill="1" applyBorder="1"/>
    <xf numFmtId="3" fontId="1" fillId="3" borderId="31" xfId="0" applyNumberFormat="1" applyFont="1" applyFill="1" applyBorder="1"/>
    <xf numFmtId="0" fontId="1" fillId="3" borderId="29" xfId="0" applyFont="1" applyFill="1" applyBorder="1"/>
    <xf numFmtId="0" fontId="1" fillId="3" borderId="29" xfId="0" applyFont="1" applyFill="1" applyBorder="1" applyAlignment="1">
      <alignment horizontal="left"/>
    </xf>
    <xf numFmtId="0" fontId="0" fillId="4" borderId="13" xfId="0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5" fillId="4" borderId="10" xfId="1" applyFont="1" applyFill="1" applyBorder="1" applyAlignment="1">
      <alignment horizontal="left" vertical="center" wrapText="1"/>
    </xf>
    <xf numFmtId="3" fontId="1" fillId="4" borderId="11" xfId="0" applyNumberFormat="1" applyFont="1" applyFill="1" applyBorder="1"/>
    <xf numFmtId="3" fontId="1" fillId="4" borderId="12" xfId="0" applyNumberFormat="1" applyFont="1" applyFill="1" applyBorder="1"/>
    <xf numFmtId="0" fontId="5" fillId="4" borderId="5" xfId="1" applyFont="1" applyFill="1" applyBorder="1" applyAlignment="1">
      <alignment horizontal="left" vertical="center" wrapText="1" indent="1"/>
    </xf>
    <xf numFmtId="3" fontId="0" fillId="4" borderId="1" xfId="0" applyNumberFormat="1" applyFill="1" applyBorder="1"/>
    <xf numFmtId="3" fontId="0" fillId="4" borderId="6" xfId="0" applyNumberFormat="1" applyFill="1" applyBorder="1"/>
    <xf numFmtId="0" fontId="7" fillId="4" borderId="5" xfId="1" applyFont="1" applyFill="1" applyBorder="1" applyAlignment="1">
      <alignment horizontal="right" vertical="center" wrapText="1"/>
    </xf>
    <xf numFmtId="0" fontId="5" fillId="4" borderId="24" xfId="1" applyFont="1" applyFill="1" applyBorder="1" applyAlignment="1">
      <alignment horizontal="left" vertical="center" wrapText="1" indent="1"/>
    </xf>
    <xf numFmtId="3" fontId="0" fillId="4" borderId="18" xfId="0" applyNumberFormat="1" applyFill="1" applyBorder="1"/>
    <xf numFmtId="3" fontId="0" fillId="4" borderId="25" xfId="0" applyNumberFormat="1" applyFill="1" applyBorder="1"/>
    <xf numFmtId="0" fontId="5" fillId="4" borderId="29" xfId="1" applyFont="1" applyFill="1" applyBorder="1" applyAlignment="1">
      <alignment horizontal="left" vertical="center" wrapText="1"/>
    </xf>
    <xf numFmtId="3" fontId="1" fillId="4" borderId="30" xfId="0" applyNumberFormat="1" applyFont="1" applyFill="1" applyBorder="1"/>
    <xf numFmtId="3" fontId="1" fillId="4" borderId="31" xfId="0" applyNumberFormat="1" applyFont="1" applyFill="1" applyBorder="1"/>
    <xf numFmtId="0" fontId="0" fillId="4" borderId="5" xfId="0" applyFill="1" applyBorder="1" applyAlignment="1">
      <alignment horizontal="left" indent="1"/>
    </xf>
    <xf numFmtId="0" fontId="0" fillId="4" borderId="1" xfId="0" applyFill="1" applyBorder="1"/>
    <xf numFmtId="0" fontId="0" fillId="4" borderId="6" xfId="0" applyFill="1" applyBorder="1"/>
    <xf numFmtId="0" fontId="0" fillId="4" borderId="24" xfId="0" applyFill="1" applyBorder="1" applyAlignment="1">
      <alignment horizontal="left" indent="1"/>
    </xf>
    <xf numFmtId="0" fontId="0" fillId="4" borderId="18" xfId="0" applyFill="1" applyBorder="1"/>
    <xf numFmtId="0" fontId="0" fillId="4" borderId="25" xfId="0" applyFill="1" applyBorder="1"/>
    <xf numFmtId="0" fontId="1" fillId="4" borderId="13" xfId="0" applyFont="1" applyFill="1" applyBorder="1" applyAlignment="1">
      <alignment horizontal="right" indent="1"/>
    </xf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5" borderId="2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vertical="center" wrapText="1"/>
    </xf>
    <xf numFmtId="3" fontId="0" fillId="5" borderId="1" xfId="0" applyNumberFormat="1" applyFill="1" applyBorder="1"/>
    <xf numFmtId="3" fontId="0" fillId="5" borderId="6" xfId="0" applyNumberFormat="1" applyFill="1" applyBorder="1"/>
    <xf numFmtId="0" fontId="5" fillId="5" borderId="24" xfId="1" applyFont="1" applyFill="1" applyBorder="1" applyAlignment="1">
      <alignment horizontal="center" vertical="center" wrapText="1"/>
    </xf>
    <xf numFmtId="3" fontId="0" fillId="5" borderId="18" xfId="0" applyNumberFormat="1" applyFill="1" applyBorder="1"/>
    <xf numFmtId="3" fontId="0" fillId="5" borderId="25" xfId="0" applyNumberFormat="1" applyFill="1" applyBorder="1"/>
    <xf numFmtId="0" fontId="1" fillId="5" borderId="2" xfId="0" applyFont="1" applyFill="1" applyBorder="1"/>
    <xf numFmtId="0" fontId="0" fillId="5" borderId="1" xfId="0" applyFill="1" applyBorder="1"/>
    <xf numFmtId="0" fontId="0" fillId="5" borderId="6" xfId="0" applyFill="1" applyBorder="1"/>
    <xf numFmtId="0" fontId="5" fillId="5" borderId="7" xfId="1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5" borderId="9" xfId="0" applyFill="1" applyBorder="1"/>
    <xf numFmtId="0" fontId="5" fillId="5" borderId="2" xfId="1" applyFont="1" applyFill="1" applyBorder="1"/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7" fillId="5" borderId="5" xfId="1" applyFont="1" applyFill="1" applyBorder="1"/>
    <xf numFmtId="0" fontId="7" fillId="5" borderId="5" xfId="1" applyFont="1" applyFill="1" applyBorder="1" applyAlignment="1"/>
    <xf numFmtId="3" fontId="7" fillId="5" borderId="1" xfId="1" applyNumberFormat="1" applyFont="1" applyFill="1" applyBorder="1"/>
    <xf numFmtId="3" fontId="7" fillId="5" borderId="6" xfId="1" applyNumberFormat="1" applyFont="1" applyFill="1" applyBorder="1"/>
    <xf numFmtId="0" fontId="5" fillId="5" borderId="24" xfId="1" applyFont="1" applyFill="1" applyBorder="1" applyAlignment="1">
      <alignment horizontal="right"/>
    </xf>
    <xf numFmtId="0" fontId="5" fillId="5" borderId="13" xfId="1" applyFont="1" applyFill="1" applyBorder="1" applyAlignment="1">
      <alignment horizontal="right"/>
    </xf>
    <xf numFmtId="3" fontId="7" fillId="5" borderId="14" xfId="1" applyNumberFormat="1" applyFont="1" applyFill="1" applyBorder="1" applyAlignment="1"/>
    <xf numFmtId="3" fontId="7" fillId="5" borderId="15" xfId="1" applyNumberFormat="1" applyFont="1" applyFill="1" applyBorder="1" applyAlignment="1"/>
    <xf numFmtId="0" fontId="5" fillId="3" borderId="13" xfId="1" applyFont="1" applyFill="1" applyBorder="1" applyAlignment="1">
      <alignment horizontal="right" vertical="center" wrapText="1"/>
    </xf>
    <xf numFmtId="3" fontId="1" fillId="3" borderId="14" xfId="0" applyNumberFormat="1" applyFont="1" applyFill="1" applyBorder="1"/>
    <xf numFmtId="3" fontId="1" fillId="3" borderId="15" xfId="0" applyNumberFormat="1" applyFont="1" applyFill="1" applyBorder="1"/>
    <xf numFmtId="0" fontId="0" fillId="5" borderId="4" xfId="0" applyFill="1" applyBorder="1"/>
    <xf numFmtId="0" fontId="0" fillId="5" borderId="19" xfId="0" applyFill="1" applyBorder="1" applyAlignment="1">
      <alignment horizontal="center"/>
    </xf>
    <xf numFmtId="0" fontId="0" fillId="5" borderId="17" xfId="0" applyFill="1" applyBorder="1" applyAlignment="1"/>
    <xf numFmtId="0" fontId="0" fillId="5" borderId="1" xfId="0" applyFill="1" applyBorder="1" applyAlignment="1"/>
    <xf numFmtId="0" fontId="1" fillId="5" borderId="9" xfId="0" applyFont="1" applyFill="1" applyBorder="1"/>
    <xf numFmtId="0" fontId="1" fillId="5" borderId="15" xfId="0" applyFont="1" applyFill="1" applyBorder="1"/>
    <xf numFmtId="0" fontId="0" fillId="5" borderId="25" xfId="0" applyFill="1" applyBorder="1"/>
    <xf numFmtId="0" fontId="0" fillId="5" borderId="6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wrapText="1"/>
    </xf>
    <xf numFmtId="0" fontId="0" fillId="5" borderId="11" xfId="0" applyFill="1" applyBorder="1"/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5" borderId="26" xfId="0" applyFont="1" applyFill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0" fontId="0" fillId="5" borderId="16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39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3" fontId="1" fillId="3" borderId="47" xfId="0" applyNumberFormat="1" applyFont="1" applyFill="1" applyBorder="1"/>
    <xf numFmtId="0" fontId="0" fillId="4" borderId="48" xfId="0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right"/>
    </xf>
    <xf numFmtId="0" fontId="1" fillId="5" borderId="31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3" fontId="7" fillId="0" borderId="0" xfId="1" applyNumberFormat="1" applyFont="1" applyFill="1" applyBorder="1"/>
    <xf numFmtId="3" fontId="7" fillId="0" borderId="0" xfId="1" applyNumberFormat="1" applyFont="1" applyFill="1" applyBorder="1" applyAlignment="1"/>
    <xf numFmtId="0" fontId="5" fillId="0" borderId="0" xfId="1" applyFont="1" applyFill="1" applyBorder="1"/>
    <xf numFmtId="0" fontId="7" fillId="0" borderId="0" xfId="1" applyFont="1" applyFill="1" applyBorder="1"/>
    <xf numFmtId="0" fontId="10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/>
    <xf numFmtId="3" fontId="10" fillId="0" borderId="0" xfId="1" applyNumberFormat="1" applyFont="1" applyFill="1" applyBorder="1"/>
    <xf numFmtId="0" fontId="7" fillId="0" borderId="0" xfId="1" applyFont="1" applyFill="1" applyBorder="1" applyAlignment="1">
      <alignment horizontal="center"/>
    </xf>
    <xf numFmtId="3" fontId="10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right"/>
    </xf>
    <xf numFmtId="3" fontId="6" fillId="0" borderId="0" xfId="1" applyNumberFormat="1" applyFont="1" applyFill="1" applyBorder="1"/>
    <xf numFmtId="3" fontId="1" fillId="0" borderId="0" xfId="0" applyNumberFormat="1" applyFont="1" applyFill="1" applyBorder="1"/>
    <xf numFmtId="0" fontId="7" fillId="0" borderId="0" xfId="1" applyFont="1" applyFill="1" applyBorder="1" applyAlignment="1">
      <alignment horizontal="right"/>
    </xf>
    <xf numFmtId="0" fontId="9" fillId="0" borderId="0" xfId="0" applyFont="1" applyFill="1" applyBorder="1"/>
    <xf numFmtId="0" fontId="5" fillId="3" borderId="5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6" xfId="0" applyFill="1" applyBorder="1"/>
    <xf numFmtId="3" fontId="7" fillId="5" borderId="25" xfId="1" applyNumberFormat="1" applyFont="1" applyFill="1" applyBorder="1"/>
    <xf numFmtId="164" fontId="7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5" borderId="43" xfId="0" applyFill="1" applyBorder="1" applyAlignment="1">
      <alignment horizontal="left" wrapText="1"/>
    </xf>
    <xf numFmtId="0" fontId="0" fillId="5" borderId="44" xfId="0" applyFill="1" applyBorder="1" applyAlignment="1">
      <alignment horizontal="left" wrapText="1"/>
    </xf>
    <xf numFmtId="0" fontId="0" fillId="5" borderId="45" xfId="0" applyFill="1" applyBorder="1" applyAlignment="1">
      <alignment horizontal="left" wrapText="1"/>
    </xf>
    <xf numFmtId="0" fontId="0" fillId="5" borderId="46" xfId="0" applyFont="1" applyFill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6" xfId="0" applyFont="1" applyFill="1" applyBorder="1" applyAlignment="1">
      <alignment horizontal="left"/>
    </xf>
    <xf numFmtId="0" fontId="0" fillId="5" borderId="23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right"/>
    </xf>
    <xf numFmtId="0" fontId="5" fillId="5" borderId="21" xfId="0" applyFont="1" applyFill="1" applyBorder="1" applyAlignment="1">
      <alignment horizontal="right"/>
    </xf>
    <xf numFmtId="0" fontId="5" fillId="5" borderId="27" xfId="0" applyFont="1" applyFill="1" applyBorder="1" applyAlignment="1">
      <alignment horizontal="right"/>
    </xf>
    <xf numFmtId="0" fontId="0" fillId="5" borderId="5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" fillId="5" borderId="32" xfId="0" applyFont="1" applyFill="1" applyBorder="1" applyAlignment="1">
      <alignment horizontal="right"/>
    </xf>
    <xf numFmtId="0" fontId="1" fillId="5" borderId="33" xfId="0" applyFont="1" applyFill="1" applyBorder="1" applyAlignment="1">
      <alignment horizontal="right"/>
    </xf>
    <xf numFmtId="0" fontId="1" fillId="5" borderId="5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5" borderId="5" xfId="0" applyFill="1" applyBorder="1" applyAlignment="1"/>
    <xf numFmtId="0" fontId="0" fillId="5" borderId="1" xfId="0" applyFont="1" applyFill="1" applyBorder="1" applyAlignment="1"/>
    <xf numFmtId="0" fontId="0" fillId="5" borderId="7" xfId="0" applyFill="1" applyBorder="1" applyAlignment="1"/>
    <xf numFmtId="0" fontId="0" fillId="5" borderId="8" xfId="0" applyFont="1" applyFill="1" applyBorder="1" applyAlignment="1"/>
    <xf numFmtId="0" fontId="1" fillId="5" borderId="22" xfId="0" applyFont="1" applyFill="1" applyBorder="1" applyAlignment="1">
      <alignment horizontal="right"/>
    </xf>
    <xf numFmtId="0" fontId="1" fillId="5" borderId="26" xfId="0" applyFont="1" applyFill="1" applyBorder="1" applyAlignment="1">
      <alignment horizontal="right"/>
    </xf>
    <xf numFmtId="0" fontId="1" fillId="5" borderId="23" xfId="0" applyFont="1" applyFill="1" applyBorder="1" applyAlignment="1">
      <alignment horizontal="right"/>
    </xf>
    <xf numFmtId="0" fontId="1" fillId="5" borderId="20" xfId="0" applyFont="1" applyFill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0" fontId="1" fillId="5" borderId="27" xfId="0" applyFont="1" applyFill="1" applyBorder="1" applyAlignment="1">
      <alignment horizontal="righ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5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3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2" borderId="38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5" borderId="16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8" fillId="2" borderId="32" xfId="1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7" fillId="5" borderId="16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54" xfId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colors>
    <mruColors>
      <color rgb="FFCCFFFF"/>
      <color rgb="FF00FFFF"/>
      <color rgb="FF00CCFF"/>
      <color rgb="FFF1F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G20" sqref="G20"/>
    </sheetView>
  </sheetViews>
  <sheetFormatPr defaultRowHeight="15"/>
  <cols>
    <col min="6" max="6" width="10.85546875" customWidth="1"/>
    <col min="7" max="7" width="15.42578125" customWidth="1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B13" s="3"/>
      <c r="C13" s="3"/>
      <c r="D13" s="3"/>
      <c r="E13" s="3"/>
      <c r="F13" s="3"/>
      <c r="G13" s="3"/>
      <c r="H13" s="3"/>
    </row>
    <row r="16" spans="1:9" ht="21">
      <c r="A16" s="126" t="s">
        <v>3</v>
      </c>
      <c r="B16" s="126"/>
      <c r="C16" s="126"/>
      <c r="D16" s="126"/>
      <c r="E16" s="126"/>
      <c r="F16" s="126"/>
      <c r="G16" s="126"/>
    </row>
    <row r="17" spans="1:8" ht="15.75" thickBot="1"/>
    <row r="18" spans="1:8" ht="15.75" thickBot="1">
      <c r="A18" s="133" t="s">
        <v>8</v>
      </c>
      <c r="B18" s="134"/>
      <c r="C18" s="134"/>
      <c r="D18" s="134"/>
      <c r="E18" s="134"/>
      <c r="F18" s="77" t="s">
        <v>9</v>
      </c>
      <c r="G18" s="78" t="s">
        <v>10</v>
      </c>
    </row>
    <row r="19" spans="1:8">
      <c r="A19" s="127" t="s">
        <v>0</v>
      </c>
      <c r="B19" s="128"/>
      <c r="C19" s="128"/>
      <c r="D19" s="128"/>
      <c r="E19" s="128"/>
      <c r="F19" s="73" t="s">
        <v>4</v>
      </c>
      <c r="G19" s="74">
        <v>890</v>
      </c>
    </row>
    <row r="20" spans="1:8">
      <c r="A20" s="129" t="s">
        <v>1</v>
      </c>
      <c r="B20" s="130"/>
      <c r="C20" s="130"/>
      <c r="D20" s="130"/>
      <c r="E20" s="130"/>
      <c r="F20" s="44" t="s">
        <v>5</v>
      </c>
      <c r="G20" s="75">
        <v>670</v>
      </c>
      <c r="H20" s="1" t="s">
        <v>21</v>
      </c>
    </row>
    <row r="21" spans="1:8">
      <c r="A21" s="129" t="s">
        <v>69</v>
      </c>
      <c r="B21" s="130"/>
      <c r="C21" s="130"/>
      <c r="D21" s="130"/>
      <c r="E21" s="130"/>
      <c r="F21" s="44" t="s">
        <v>6</v>
      </c>
      <c r="G21" s="75">
        <v>2</v>
      </c>
      <c r="H21" s="1" t="s">
        <v>15</v>
      </c>
    </row>
    <row r="22" spans="1:8" ht="15.75" thickBot="1">
      <c r="A22" s="131" t="s">
        <v>2</v>
      </c>
      <c r="B22" s="132"/>
      <c r="C22" s="132"/>
      <c r="D22" s="132"/>
      <c r="E22" s="132"/>
      <c r="F22" s="47" t="s">
        <v>7</v>
      </c>
      <c r="G22" s="76">
        <v>25000</v>
      </c>
    </row>
  </sheetData>
  <mergeCells count="6">
    <mergeCell ref="A16:G16"/>
    <mergeCell ref="A19:E19"/>
    <mergeCell ref="A20:E20"/>
    <mergeCell ref="A21:E21"/>
    <mergeCell ref="A22:E22"/>
    <mergeCell ref="A18:E1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opLeftCell="A15" workbookViewId="0">
      <selection activeCell="A27" sqref="A27:F27"/>
    </sheetView>
  </sheetViews>
  <sheetFormatPr defaultRowHeight="15"/>
  <cols>
    <col min="3" max="3" width="3.28515625" customWidth="1"/>
    <col min="6" max="6" width="16" style="3" customWidth="1"/>
    <col min="7" max="7" width="15.140625" customWidth="1"/>
    <col min="10" max="10" width="37" customWidth="1"/>
    <col min="11" max="11" width="12.85546875" customWidth="1"/>
    <col min="12" max="12" width="15.28515625" customWidth="1"/>
    <col min="13" max="13" width="18.7109375" customWidth="1"/>
    <col min="14" max="14" width="19.7109375" customWidth="1"/>
    <col min="15" max="15" width="16.85546875" customWidth="1"/>
  </cols>
  <sheetData>
    <row r="1" spans="1:15" ht="21">
      <c r="A1" s="151" t="s">
        <v>11</v>
      </c>
      <c r="B1" s="152"/>
      <c r="C1" s="152"/>
      <c r="D1" s="152"/>
      <c r="E1" s="152"/>
      <c r="F1" s="152"/>
      <c r="G1" s="153"/>
      <c r="H1" s="2"/>
      <c r="J1" s="182"/>
      <c r="K1" s="182"/>
      <c r="L1" s="182"/>
      <c r="M1" s="182"/>
      <c r="N1" s="182"/>
      <c r="O1" s="182"/>
    </row>
    <row r="2" spans="1:15">
      <c r="A2" s="179" t="s">
        <v>12</v>
      </c>
      <c r="B2" s="180"/>
      <c r="C2" s="180"/>
      <c r="D2" s="180"/>
      <c r="E2" s="180"/>
      <c r="F2" s="177" t="s">
        <v>53</v>
      </c>
      <c r="G2" s="178"/>
      <c r="J2" s="183"/>
      <c r="K2" s="183"/>
      <c r="L2" s="183"/>
      <c r="M2" s="183"/>
      <c r="N2" s="183"/>
      <c r="O2" s="183"/>
    </row>
    <row r="3" spans="1:15" ht="30" customHeight="1" thickBot="1">
      <c r="A3" s="87"/>
      <c r="B3" s="88"/>
      <c r="C3" s="88"/>
      <c r="D3" s="88"/>
      <c r="E3" s="88"/>
      <c r="F3" s="89" t="s">
        <v>56</v>
      </c>
      <c r="G3" s="90" t="s">
        <v>57</v>
      </c>
      <c r="J3" s="109"/>
      <c r="K3" s="105"/>
      <c r="L3" s="105"/>
      <c r="M3" s="105"/>
      <c r="N3" s="105"/>
      <c r="O3" s="105"/>
    </row>
    <row r="4" spans="1:15">
      <c r="A4" s="184" t="s">
        <v>13</v>
      </c>
      <c r="B4" s="185"/>
      <c r="C4" s="185"/>
      <c r="D4" s="185"/>
      <c r="E4" s="185"/>
      <c r="F4" s="91">
        <v>5000</v>
      </c>
      <c r="G4" s="63">
        <v>5000</v>
      </c>
      <c r="J4" s="110"/>
      <c r="K4" s="111"/>
      <c r="L4" s="111"/>
      <c r="M4" s="111"/>
      <c r="N4" s="111"/>
      <c r="O4" s="111"/>
    </row>
    <row r="5" spans="1:15">
      <c r="A5" s="147" t="s">
        <v>14</v>
      </c>
      <c r="B5" s="148"/>
      <c r="C5" s="150"/>
      <c r="D5" s="148"/>
      <c r="E5" s="148"/>
      <c r="F5" s="92">
        <v>200000</v>
      </c>
      <c r="G5" s="45">
        <v>350000</v>
      </c>
      <c r="J5" s="112"/>
      <c r="K5" s="113"/>
      <c r="L5" s="113"/>
      <c r="M5" s="113"/>
      <c r="N5" s="113"/>
      <c r="O5" s="113"/>
    </row>
    <row r="6" spans="1:15">
      <c r="A6" s="147" t="s">
        <v>17</v>
      </c>
      <c r="B6" s="181"/>
      <c r="C6" s="64">
        <f>Титул!G21+1</f>
        <v>3</v>
      </c>
      <c r="D6" s="65" t="s">
        <v>18</v>
      </c>
      <c r="E6" s="66"/>
      <c r="F6" s="92">
        <f>C6*30000</f>
        <v>90000</v>
      </c>
      <c r="G6" s="45">
        <f>C6*30000</f>
        <v>90000</v>
      </c>
      <c r="J6" s="114"/>
      <c r="K6" s="113"/>
      <c r="L6" s="113"/>
      <c r="M6" s="113"/>
      <c r="N6" s="113"/>
      <c r="O6" s="113"/>
    </row>
    <row r="7" spans="1:15">
      <c r="A7" s="147" t="s">
        <v>16</v>
      </c>
      <c r="B7" s="148"/>
      <c r="C7" s="174"/>
      <c r="D7" s="148"/>
      <c r="E7" s="148"/>
      <c r="F7" s="92">
        <v>1500</v>
      </c>
      <c r="G7" s="45">
        <v>2500</v>
      </c>
      <c r="J7" s="112"/>
      <c r="K7" s="113"/>
      <c r="L7" s="113"/>
      <c r="M7" s="113"/>
      <c r="N7" s="113"/>
      <c r="O7" s="113"/>
    </row>
    <row r="8" spans="1:15" ht="15.75" thickBot="1">
      <c r="A8" s="167" t="s">
        <v>19</v>
      </c>
      <c r="B8" s="168"/>
      <c r="C8" s="168"/>
      <c r="D8" s="168"/>
      <c r="E8" s="169"/>
      <c r="F8" s="79">
        <f>SUM(F4:F7)</f>
        <v>296500</v>
      </c>
      <c r="G8" s="67">
        <f>SUM(G4:G7)</f>
        <v>447500</v>
      </c>
      <c r="J8" s="112"/>
      <c r="K8" s="113"/>
      <c r="L8" s="113"/>
      <c r="M8" s="113"/>
      <c r="N8" s="113"/>
      <c r="O8" s="113"/>
    </row>
    <row r="9" spans="1:15" ht="15.75" thickBot="1">
      <c r="A9" s="170" t="s">
        <v>46</v>
      </c>
      <c r="B9" s="171"/>
      <c r="C9" s="171"/>
      <c r="D9" s="171"/>
      <c r="E9" s="172"/>
      <c r="F9" s="80">
        <f>F8/5</f>
        <v>59300</v>
      </c>
      <c r="G9" s="68">
        <f>G8/5</f>
        <v>89500</v>
      </c>
      <c r="J9" s="112"/>
      <c r="K9" s="115"/>
      <c r="L9" s="115"/>
      <c r="M9" s="115"/>
      <c r="N9" s="115"/>
      <c r="O9" s="115"/>
    </row>
    <row r="10" spans="1:15" ht="15.75" thickBot="1">
      <c r="J10" s="112"/>
      <c r="K10" s="115"/>
      <c r="L10" s="115"/>
      <c r="M10" s="115"/>
      <c r="N10" s="115"/>
      <c r="O10" s="115"/>
    </row>
    <row r="11" spans="1:15" ht="21">
      <c r="A11" s="151" t="s">
        <v>20</v>
      </c>
      <c r="B11" s="152"/>
      <c r="C11" s="152"/>
      <c r="D11" s="152"/>
      <c r="E11" s="152"/>
      <c r="F11" s="152"/>
      <c r="G11" s="153"/>
      <c r="J11" s="112"/>
      <c r="K11" s="113"/>
      <c r="L11" s="113"/>
      <c r="M11" s="113"/>
      <c r="N11" s="113"/>
      <c r="O11" s="113"/>
    </row>
    <row r="12" spans="1:15">
      <c r="A12" s="179" t="s">
        <v>12</v>
      </c>
      <c r="B12" s="180"/>
      <c r="C12" s="180"/>
      <c r="D12" s="180"/>
      <c r="E12" s="180"/>
      <c r="F12" s="177" t="s">
        <v>54</v>
      </c>
      <c r="G12" s="178"/>
      <c r="J12" s="116"/>
      <c r="K12" s="117"/>
      <c r="L12" s="117"/>
      <c r="M12" s="117"/>
      <c r="N12" s="117"/>
      <c r="O12" s="117"/>
    </row>
    <row r="13" spans="1:15" ht="15.75" customHeight="1" thickBot="1">
      <c r="A13" s="154"/>
      <c r="B13" s="155"/>
      <c r="C13" s="155"/>
      <c r="D13" s="155"/>
      <c r="E13" s="155"/>
      <c r="F13" s="89" t="s">
        <v>49</v>
      </c>
      <c r="G13" s="90" t="s">
        <v>50</v>
      </c>
      <c r="J13" s="116"/>
      <c r="K13" s="118"/>
      <c r="L13" s="118"/>
      <c r="M13" s="118"/>
      <c r="N13" s="118"/>
      <c r="O13" s="118"/>
    </row>
    <row r="14" spans="1:15">
      <c r="A14" s="173" t="s">
        <v>22</v>
      </c>
      <c r="B14" s="174"/>
      <c r="C14" s="174"/>
      <c r="D14" s="174"/>
      <c r="E14" s="174"/>
      <c r="F14" s="84">
        <v>20000</v>
      </c>
      <c r="G14" s="85">
        <v>30000</v>
      </c>
      <c r="J14" s="119"/>
      <c r="K14" s="120"/>
      <c r="L14" s="120"/>
      <c r="M14" s="120"/>
      <c r="N14" s="120"/>
      <c r="O14" s="120"/>
    </row>
    <row r="15" spans="1:15">
      <c r="A15" s="175" t="s">
        <v>23</v>
      </c>
      <c r="B15" s="176"/>
      <c r="C15" s="176"/>
      <c r="D15" s="176"/>
      <c r="E15" s="176"/>
      <c r="F15" s="81">
        <v>0</v>
      </c>
      <c r="G15" s="45">
        <v>0</v>
      </c>
      <c r="J15" s="112"/>
      <c r="K15" s="120"/>
      <c r="L15" s="120"/>
      <c r="M15" s="120"/>
      <c r="N15" s="120"/>
      <c r="O15" s="120"/>
    </row>
    <row r="16" spans="1:15">
      <c r="A16" s="147" t="s">
        <v>24</v>
      </c>
      <c r="B16" s="148"/>
      <c r="C16" s="148"/>
      <c r="D16" s="148"/>
      <c r="E16" s="148"/>
      <c r="F16" s="82">
        <v>15000</v>
      </c>
      <c r="G16" s="45">
        <v>55000</v>
      </c>
      <c r="J16" s="112"/>
      <c r="K16" s="120"/>
      <c r="L16" s="120"/>
      <c r="M16" s="120"/>
      <c r="N16" s="120"/>
      <c r="O16" s="120"/>
    </row>
    <row r="17" spans="1:15">
      <c r="A17" s="147" t="s">
        <v>65</v>
      </c>
      <c r="B17" s="148"/>
      <c r="C17" s="148"/>
      <c r="D17" s="148"/>
      <c r="E17" s="148"/>
      <c r="F17" s="82">
        <v>0</v>
      </c>
      <c r="G17" s="45">
        <v>0</v>
      </c>
    </row>
    <row r="18" spans="1:15">
      <c r="A18" s="147" t="s">
        <v>25</v>
      </c>
      <c r="B18" s="148"/>
      <c r="C18" s="148"/>
      <c r="D18" s="148"/>
      <c r="E18" s="148"/>
      <c r="F18" s="82">
        <v>1500</v>
      </c>
      <c r="G18" s="45">
        <v>3000</v>
      </c>
    </row>
    <row r="19" spans="1:15">
      <c r="A19" s="147" t="s">
        <v>26</v>
      </c>
      <c r="B19" s="148"/>
      <c r="C19" s="148"/>
      <c r="D19" s="148"/>
      <c r="E19" s="148"/>
      <c r="F19" s="82">
        <v>800</v>
      </c>
      <c r="G19" s="45">
        <v>800</v>
      </c>
    </row>
    <row r="20" spans="1:15">
      <c r="A20" s="147" t="s">
        <v>67</v>
      </c>
      <c r="B20" s="148"/>
      <c r="C20" s="148"/>
      <c r="D20" s="148"/>
      <c r="E20" s="148"/>
      <c r="F20" s="82">
        <f>Титул!G21*Титул!G22*1.3</f>
        <v>65000</v>
      </c>
      <c r="G20" s="45">
        <f>Титул!G21*Титул!G22*1.3</f>
        <v>65000</v>
      </c>
    </row>
    <row r="21" spans="1:15" s="3" customFormat="1">
      <c r="A21" s="147" t="s">
        <v>27</v>
      </c>
      <c r="B21" s="148"/>
      <c r="C21" s="148"/>
      <c r="D21" s="148"/>
      <c r="E21" s="148"/>
      <c r="F21" s="82">
        <v>2000</v>
      </c>
      <c r="G21" s="45">
        <v>5000</v>
      </c>
      <c r="J21"/>
      <c r="K21"/>
      <c r="L21"/>
      <c r="M21"/>
      <c r="N21"/>
      <c r="O21"/>
    </row>
    <row r="22" spans="1:15" ht="15.75" thickBot="1">
      <c r="A22" s="149" t="s">
        <v>28</v>
      </c>
      <c r="B22" s="150"/>
      <c r="C22" s="150"/>
      <c r="D22" s="150"/>
      <c r="E22" s="150"/>
      <c r="F22" s="83">
        <v>2500</v>
      </c>
      <c r="G22" s="69">
        <v>5500</v>
      </c>
      <c r="J22" s="3"/>
      <c r="K22" s="3"/>
      <c r="L22" s="3"/>
      <c r="M22" s="3"/>
      <c r="N22" s="3"/>
      <c r="O22" s="3"/>
    </row>
    <row r="23" spans="1:15" ht="15.75" thickBot="1">
      <c r="A23" s="157" t="s">
        <v>19</v>
      </c>
      <c r="B23" s="158"/>
      <c r="C23" s="158"/>
      <c r="D23" s="158"/>
      <c r="E23" s="159"/>
      <c r="F23" s="100">
        <f>SUM(F14:F22)</f>
        <v>106800</v>
      </c>
      <c r="G23" s="101">
        <f>SUM(G14:G22)</f>
        <v>164300</v>
      </c>
    </row>
    <row r="24" spans="1:15" s="3" customFormat="1">
      <c r="A24" s="160" t="s">
        <v>55</v>
      </c>
      <c r="B24" s="161"/>
      <c r="C24" s="161"/>
      <c r="D24" s="161"/>
      <c r="E24" s="161"/>
      <c r="F24" s="161"/>
      <c r="G24" s="162"/>
    </row>
    <row r="25" spans="1:15" s="3" customFormat="1">
      <c r="A25" s="163" t="s">
        <v>72</v>
      </c>
      <c r="B25" s="164"/>
      <c r="C25" s="164"/>
      <c r="D25" s="164"/>
      <c r="E25" s="164"/>
      <c r="F25" s="164"/>
      <c r="G25" s="102">
        <f>Титул!G20*30+Затраты!F23-Затраты!F14</f>
        <v>106900</v>
      </c>
    </row>
    <row r="26" spans="1:15" s="3" customFormat="1">
      <c r="A26" s="163" t="s">
        <v>73</v>
      </c>
      <c r="B26" s="164"/>
      <c r="C26" s="164"/>
      <c r="D26" s="164"/>
      <c r="E26" s="164"/>
      <c r="F26" s="164"/>
      <c r="G26" s="102">
        <f>Титул!G20*30+((Затраты!F23-Затраты!F14)+(Затраты!G23-Затраты!G14))/2</f>
        <v>130650</v>
      </c>
    </row>
    <row r="27" spans="1:15" s="3" customFormat="1" ht="15.75" thickBot="1">
      <c r="A27" s="165" t="s">
        <v>74</v>
      </c>
      <c r="B27" s="166"/>
      <c r="C27" s="166"/>
      <c r="D27" s="166"/>
      <c r="E27" s="166"/>
      <c r="F27" s="166"/>
      <c r="G27" s="103">
        <f>Титул!G20*30+Затраты!G23-Затраты!G14</f>
        <v>154400</v>
      </c>
    </row>
    <row r="28" spans="1:15" ht="15.75" thickBot="1"/>
    <row r="29" spans="1:15" ht="21">
      <c r="A29" s="151" t="s">
        <v>29</v>
      </c>
      <c r="B29" s="152"/>
      <c r="C29" s="152"/>
      <c r="D29" s="152"/>
      <c r="E29" s="152"/>
      <c r="F29" s="152"/>
      <c r="G29" s="153"/>
    </row>
    <row r="30" spans="1:15" ht="15.75" thickBot="1">
      <c r="A30" s="154" t="s">
        <v>12</v>
      </c>
      <c r="B30" s="155"/>
      <c r="C30" s="155"/>
      <c r="D30" s="155"/>
      <c r="E30" s="155"/>
      <c r="F30" s="155"/>
      <c r="G30" s="156"/>
    </row>
    <row r="31" spans="1:15" ht="15" customHeight="1">
      <c r="A31" s="135" t="s">
        <v>31</v>
      </c>
      <c r="B31" s="136"/>
      <c r="C31" s="136"/>
      <c r="D31" s="136"/>
      <c r="E31" s="136"/>
      <c r="F31" s="137"/>
      <c r="G31" s="86">
        <v>5000</v>
      </c>
    </row>
    <row r="32" spans="1:15">
      <c r="A32" s="138" t="s">
        <v>30</v>
      </c>
      <c r="B32" s="139"/>
      <c r="C32" s="139"/>
      <c r="D32" s="139"/>
      <c r="E32" s="139"/>
      <c r="F32" s="140"/>
      <c r="G32" s="70">
        <v>15000</v>
      </c>
    </row>
    <row r="33" spans="1:7" ht="15.75" thickBot="1">
      <c r="A33" s="141" t="s">
        <v>58</v>
      </c>
      <c r="B33" s="142"/>
      <c r="C33" s="142"/>
      <c r="D33" s="142"/>
      <c r="E33" s="142"/>
      <c r="F33" s="143"/>
      <c r="G33" s="71">
        <v>2000</v>
      </c>
    </row>
    <row r="34" spans="1:7" ht="15.75" thickBot="1">
      <c r="A34" s="144" t="s">
        <v>19</v>
      </c>
      <c r="B34" s="145"/>
      <c r="C34" s="145"/>
      <c r="D34" s="145"/>
      <c r="E34" s="145"/>
      <c r="F34" s="146"/>
      <c r="G34" s="72">
        <f>SUM(G31:G33)</f>
        <v>22000</v>
      </c>
    </row>
  </sheetData>
  <mergeCells count="35">
    <mergeCell ref="A6:B6"/>
    <mergeCell ref="J1:O1"/>
    <mergeCell ref="J2:O2"/>
    <mergeCell ref="A16:E16"/>
    <mergeCell ref="A17:E17"/>
    <mergeCell ref="A1:G1"/>
    <mergeCell ref="A4:E4"/>
    <mergeCell ref="A5:E5"/>
    <mergeCell ref="A7:E7"/>
    <mergeCell ref="F2:G2"/>
    <mergeCell ref="A2:E2"/>
    <mergeCell ref="A18:E18"/>
    <mergeCell ref="A8:E8"/>
    <mergeCell ref="A11:G11"/>
    <mergeCell ref="A9:E9"/>
    <mergeCell ref="A14:E14"/>
    <mergeCell ref="A15:E15"/>
    <mergeCell ref="A13:E13"/>
    <mergeCell ref="F12:G12"/>
    <mergeCell ref="A12:E12"/>
    <mergeCell ref="A31:F31"/>
    <mergeCell ref="A32:F32"/>
    <mergeCell ref="A33:F33"/>
    <mergeCell ref="A34:F34"/>
    <mergeCell ref="A19:E19"/>
    <mergeCell ref="A20:E20"/>
    <mergeCell ref="A21:E21"/>
    <mergeCell ref="A22:E22"/>
    <mergeCell ref="A29:G29"/>
    <mergeCell ref="A30:G30"/>
    <mergeCell ref="A23:E23"/>
    <mergeCell ref="A24:G24"/>
    <mergeCell ref="A25:F25"/>
    <mergeCell ref="A26:F26"/>
    <mergeCell ref="A27:F2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4" workbookViewId="0">
      <selection activeCell="C6" sqref="C6"/>
    </sheetView>
  </sheetViews>
  <sheetFormatPr defaultRowHeight="15"/>
  <cols>
    <col min="1" max="1" width="47.42578125" customWidth="1"/>
    <col min="2" max="2" width="14.28515625" customWidth="1"/>
    <col min="3" max="3" width="14.5703125" customWidth="1"/>
    <col min="4" max="4" width="14.140625" customWidth="1"/>
    <col min="5" max="5" width="14" customWidth="1"/>
    <col min="6" max="6" width="14.5703125" customWidth="1"/>
  </cols>
  <sheetData>
    <row r="1" spans="1:6" ht="21.75" thickBot="1">
      <c r="A1" s="192" t="s">
        <v>59</v>
      </c>
      <c r="B1" s="193"/>
      <c r="C1" s="193"/>
      <c r="D1" s="194"/>
      <c r="E1" s="104"/>
      <c r="F1" s="104"/>
    </row>
    <row r="2" spans="1:6" ht="38.25">
      <c r="A2" s="49"/>
      <c r="B2" s="50" t="s">
        <v>60</v>
      </c>
      <c r="C2" s="50" t="s">
        <v>61</v>
      </c>
      <c r="D2" s="51" t="s">
        <v>62</v>
      </c>
      <c r="E2" s="105"/>
      <c r="F2" s="105"/>
    </row>
    <row r="3" spans="1:6" s="3" customFormat="1">
      <c r="A3" s="52" t="s">
        <v>63</v>
      </c>
      <c r="B3" s="189">
        <v>10000000</v>
      </c>
      <c r="C3" s="190"/>
      <c r="D3" s="191"/>
      <c r="E3" s="106"/>
      <c r="F3" s="106"/>
    </row>
    <row r="4" spans="1:6">
      <c r="A4" s="53" t="s">
        <v>64</v>
      </c>
      <c r="B4" s="54">
        <f>B3*0.1</f>
        <v>1000000</v>
      </c>
      <c r="C4" s="54">
        <f>B3*0.4</f>
        <v>4000000</v>
      </c>
      <c r="D4" s="55">
        <f>B3*0.7</f>
        <v>7000000</v>
      </c>
      <c r="E4" s="107"/>
      <c r="F4" s="107"/>
    </row>
    <row r="5" spans="1:6" ht="15.75" thickBot="1">
      <c r="A5" s="56" t="s">
        <v>70</v>
      </c>
      <c r="B5" s="125">
        <v>0.4</v>
      </c>
      <c r="C5" s="125">
        <v>0.4</v>
      </c>
      <c r="D5" s="124">
        <v>1</v>
      </c>
      <c r="E5" s="107" t="s">
        <v>71</v>
      </c>
      <c r="F5" s="107"/>
    </row>
    <row r="6" spans="1:6" ht="15.75" thickBot="1">
      <c r="A6" s="57" t="s">
        <v>66</v>
      </c>
      <c r="B6" s="58">
        <f>B4*B5/100</f>
        <v>4000</v>
      </c>
      <c r="C6" s="58">
        <f>C4*C5/100</f>
        <v>16000</v>
      </c>
      <c r="D6" s="59">
        <f>D4*D5/100</f>
        <v>70000</v>
      </c>
      <c r="E6" s="108"/>
      <c r="F6" s="108"/>
    </row>
    <row r="7" spans="1:6" ht="15.75" thickBot="1"/>
    <row r="8" spans="1:6" ht="21.75" thickBot="1">
      <c r="A8" s="186" t="s">
        <v>32</v>
      </c>
      <c r="B8" s="187"/>
      <c r="C8" s="187"/>
      <c r="D8" s="187"/>
      <c r="E8" s="187"/>
      <c r="F8" s="188"/>
    </row>
    <row r="9" spans="1:6">
      <c r="A9" s="43"/>
      <c r="B9" s="35" t="s">
        <v>33</v>
      </c>
      <c r="C9" s="35" t="s">
        <v>34</v>
      </c>
      <c r="D9" s="35" t="s">
        <v>35</v>
      </c>
      <c r="E9" s="35" t="s">
        <v>36</v>
      </c>
      <c r="F9" s="36" t="s">
        <v>37</v>
      </c>
    </row>
    <row r="10" spans="1:6">
      <c r="A10" s="37" t="str">
        <f>B2</f>
        <v>Тендерный займ</v>
      </c>
      <c r="B10" s="44">
        <v>7</v>
      </c>
      <c r="C10" s="44">
        <v>9</v>
      </c>
      <c r="D10" s="44">
        <v>11</v>
      </c>
      <c r="E10" s="44">
        <v>13</v>
      </c>
      <c r="F10" s="45">
        <v>15</v>
      </c>
    </row>
    <row r="11" spans="1:6">
      <c r="A11" s="37" t="str">
        <f>C2</f>
        <v>Банковская гарантия</v>
      </c>
      <c r="B11" s="44">
        <v>10</v>
      </c>
      <c r="C11" s="44">
        <v>15</v>
      </c>
      <c r="D11" s="44">
        <v>20</v>
      </c>
      <c r="E11" s="44">
        <v>23</v>
      </c>
      <c r="F11" s="45">
        <v>30</v>
      </c>
    </row>
    <row r="12" spans="1:6">
      <c r="A12" s="37" t="str">
        <f>D2</f>
        <v>Кредит на исполнение обязательств</v>
      </c>
      <c r="B12" s="44">
        <v>0</v>
      </c>
      <c r="C12" s="44">
        <v>2</v>
      </c>
      <c r="D12" s="44">
        <v>2</v>
      </c>
      <c r="E12" s="44">
        <v>2</v>
      </c>
      <c r="F12" s="45">
        <v>3</v>
      </c>
    </row>
    <row r="13" spans="1:6">
      <c r="A13" s="121" t="s">
        <v>68</v>
      </c>
      <c r="B13" s="122">
        <f>B10+B11+B12</f>
        <v>17</v>
      </c>
      <c r="C13" s="122">
        <f t="shared" ref="C13:F13" si="0">C10+C11+C12</f>
        <v>26</v>
      </c>
      <c r="D13" s="122">
        <f t="shared" si="0"/>
        <v>33</v>
      </c>
      <c r="E13" s="122">
        <f t="shared" si="0"/>
        <v>38</v>
      </c>
      <c r="F13" s="123">
        <f t="shared" si="0"/>
        <v>48</v>
      </c>
    </row>
    <row r="14" spans="1:6" ht="15.75" hidden="1" thickBot="1">
      <c r="A14" s="46"/>
      <c r="B14" s="47"/>
      <c r="C14" s="47"/>
      <c r="D14" s="47"/>
      <c r="E14" s="47"/>
      <c r="F14" s="48"/>
    </row>
    <row r="15" spans="1:6" ht="15.75" thickBot="1">
      <c r="A15" s="31"/>
      <c r="B15" s="32"/>
      <c r="C15" s="32"/>
      <c r="D15" s="32"/>
      <c r="E15" s="32"/>
      <c r="F15" s="33"/>
    </row>
    <row r="16" spans="1:6" ht="21.75" thickBot="1">
      <c r="A16" s="151" t="s">
        <v>38</v>
      </c>
      <c r="B16" s="152"/>
      <c r="C16" s="152"/>
      <c r="D16" s="152"/>
      <c r="E16" s="152"/>
      <c r="F16" s="153"/>
    </row>
    <row r="17" spans="1:6" s="3" customFormat="1">
      <c r="A17" s="34"/>
      <c r="B17" s="35" t="s">
        <v>33</v>
      </c>
      <c r="C17" s="35" t="s">
        <v>34</v>
      </c>
      <c r="D17" s="35" t="s">
        <v>35</v>
      </c>
      <c r="E17" s="35" t="s">
        <v>36</v>
      </c>
      <c r="F17" s="36" t="s">
        <v>37</v>
      </c>
    </row>
    <row r="18" spans="1:6">
      <c r="A18" s="37" t="str">
        <f>A10</f>
        <v>Тендерный займ</v>
      </c>
      <c r="B18" s="38">
        <f>B10*$B$6</f>
        <v>28000</v>
      </c>
      <c r="C18" s="38">
        <f t="shared" ref="C18:F18" si="1">C10*$B$6</f>
        <v>36000</v>
      </c>
      <c r="D18" s="38">
        <f t="shared" si="1"/>
        <v>44000</v>
      </c>
      <c r="E18" s="38">
        <f t="shared" si="1"/>
        <v>52000</v>
      </c>
      <c r="F18" s="39">
        <f t="shared" si="1"/>
        <v>60000</v>
      </c>
    </row>
    <row r="19" spans="1:6">
      <c r="A19" s="37" t="str">
        <f t="shared" ref="A19:A20" si="2">A11</f>
        <v>Банковская гарантия</v>
      </c>
      <c r="B19" s="38">
        <f>B11*$C$6</f>
        <v>160000</v>
      </c>
      <c r="C19" s="38">
        <f t="shared" ref="C19:F19" si="3">C11*$C$6</f>
        <v>240000</v>
      </c>
      <c r="D19" s="38">
        <f t="shared" si="3"/>
        <v>320000</v>
      </c>
      <c r="E19" s="38">
        <f t="shared" si="3"/>
        <v>368000</v>
      </c>
      <c r="F19" s="39">
        <f t="shared" si="3"/>
        <v>480000</v>
      </c>
    </row>
    <row r="20" spans="1:6" ht="15.75" thickBot="1">
      <c r="A20" s="37" t="str">
        <f t="shared" si="2"/>
        <v>Кредит на исполнение обязательств</v>
      </c>
      <c r="B20" s="38">
        <f>B12*$D$6</f>
        <v>0</v>
      </c>
      <c r="C20" s="38">
        <f t="shared" ref="C20:F20" si="4">C12*$D$6</f>
        <v>140000</v>
      </c>
      <c r="D20" s="38">
        <f t="shared" si="4"/>
        <v>140000</v>
      </c>
      <c r="E20" s="38">
        <f t="shared" si="4"/>
        <v>140000</v>
      </c>
      <c r="F20" s="39">
        <f t="shared" si="4"/>
        <v>210000</v>
      </c>
    </row>
    <row r="21" spans="1:6" hidden="1">
      <c r="A21" s="37"/>
      <c r="B21" s="38"/>
      <c r="C21" s="38"/>
      <c r="D21" s="38"/>
      <c r="E21" s="38"/>
      <c r="F21" s="39"/>
    </row>
    <row r="22" spans="1:6" hidden="1">
      <c r="A22" s="37"/>
      <c r="B22" s="38"/>
      <c r="C22" s="38"/>
      <c r="D22" s="38"/>
      <c r="E22" s="38"/>
      <c r="F22" s="39"/>
    </row>
    <row r="23" spans="1:6" ht="15.75" hidden="1" thickBot="1">
      <c r="A23" s="40"/>
      <c r="B23" s="41"/>
      <c r="C23" s="41"/>
      <c r="D23" s="41"/>
      <c r="E23" s="41"/>
      <c r="F23" s="42"/>
    </row>
    <row r="24" spans="1:6" ht="15.75" thickBot="1">
      <c r="A24" s="60" t="s">
        <v>19</v>
      </c>
      <c r="B24" s="61">
        <f>SUM(B18:B23)</f>
        <v>188000</v>
      </c>
      <c r="C24" s="61">
        <f t="shared" ref="C24:F24" si="5">SUM(C18:C23)</f>
        <v>416000</v>
      </c>
      <c r="D24" s="61">
        <f t="shared" si="5"/>
        <v>504000</v>
      </c>
      <c r="E24" s="61">
        <f t="shared" si="5"/>
        <v>560000</v>
      </c>
      <c r="F24" s="62">
        <f t="shared" si="5"/>
        <v>750000</v>
      </c>
    </row>
    <row r="26" spans="1:6">
      <c r="C26" s="3"/>
      <c r="D26" s="3"/>
      <c r="E26" s="3"/>
      <c r="F26" s="3"/>
    </row>
  </sheetData>
  <mergeCells count="4">
    <mergeCell ref="A8:F8"/>
    <mergeCell ref="A16:F16"/>
    <mergeCell ref="B3:D3"/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13" sqref="F13"/>
    </sheetView>
  </sheetViews>
  <sheetFormatPr defaultRowHeight="15"/>
  <cols>
    <col min="1" max="1" width="44.42578125" customWidth="1"/>
    <col min="2" max="2" width="13.28515625" customWidth="1"/>
    <col min="3" max="3" width="11.7109375" customWidth="1"/>
    <col min="4" max="4" width="13" customWidth="1"/>
    <col min="5" max="5" width="11.5703125" customWidth="1"/>
    <col min="6" max="6" width="14.42578125" customWidth="1"/>
  </cols>
  <sheetData>
    <row r="1" spans="1:6" ht="21.75" thickBot="1">
      <c r="A1" s="151" t="s">
        <v>48</v>
      </c>
      <c r="B1" s="152"/>
      <c r="C1" s="152"/>
      <c r="D1" s="152"/>
      <c r="E1" s="152"/>
      <c r="F1" s="153"/>
    </row>
    <row r="2" spans="1:6" ht="15.75" thickBot="1">
      <c r="A2" s="8"/>
      <c r="B2" s="9" t="s">
        <v>33</v>
      </c>
      <c r="C2" s="9" t="s">
        <v>34</v>
      </c>
      <c r="D2" s="9" t="s">
        <v>35</v>
      </c>
      <c r="E2" s="9" t="s">
        <v>36</v>
      </c>
      <c r="F2" s="10" t="s">
        <v>37</v>
      </c>
    </row>
    <row r="3" spans="1:6" s="3" customFormat="1" hidden="1">
      <c r="A3" s="94"/>
      <c r="B3" s="95">
        <v>1</v>
      </c>
      <c r="C3" s="95">
        <v>2</v>
      </c>
      <c r="D3" s="95">
        <v>3</v>
      </c>
      <c r="E3" s="95">
        <v>4</v>
      </c>
      <c r="F3" s="96">
        <v>5</v>
      </c>
    </row>
    <row r="4" spans="1:6" ht="19.5" customHeight="1">
      <c r="A4" s="11" t="s">
        <v>39</v>
      </c>
      <c r="B4" s="12">
        <f>Продажи!B24</f>
        <v>188000</v>
      </c>
      <c r="C4" s="12">
        <f>Продажи!C24</f>
        <v>416000</v>
      </c>
      <c r="D4" s="12">
        <f>Продажи!D24</f>
        <v>504000</v>
      </c>
      <c r="E4" s="12">
        <f>Продажи!E24</f>
        <v>560000</v>
      </c>
      <c r="F4" s="13">
        <f>Продажи!F24</f>
        <v>750000</v>
      </c>
    </row>
    <row r="5" spans="1:6" s="3" customFormat="1" ht="21.75" customHeight="1" thickBot="1">
      <c r="A5" s="14" t="s">
        <v>40</v>
      </c>
      <c r="B5" s="15">
        <f>B4*0.06</f>
        <v>11280</v>
      </c>
      <c r="C5" s="15">
        <f t="shared" ref="C5:F5" si="0">C4*0.06</f>
        <v>24960</v>
      </c>
      <c r="D5" s="15">
        <f t="shared" si="0"/>
        <v>30240</v>
      </c>
      <c r="E5" s="15">
        <f t="shared" si="0"/>
        <v>33600</v>
      </c>
      <c r="F5" s="16">
        <f t="shared" si="0"/>
        <v>45000</v>
      </c>
    </row>
    <row r="6" spans="1:6" ht="18" hidden="1" customHeight="1">
      <c r="A6" s="14"/>
      <c r="B6" s="15"/>
      <c r="C6" s="15"/>
      <c r="D6" s="15"/>
      <c r="E6" s="15"/>
      <c r="F6" s="16"/>
    </row>
    <row r="7" spans="1:6" ht="18" hidden="1" customHeight="1">
      <c r="A7" s="17"/>
      <c r="B7" s="15"/>
      <c r="C7" s="15"/>
      <c r="D7" s="15"/>
      <c r="E7" s="15"/>
      <c r="F7" s="16"/>
    </row>
    <row r="8" spans="1:6" ht="20.25" hidden="1" customHeight="1">
      <c r="A8" s="17"/>
      <c r="B8" s="15"/>
      <c r="C8" s="15"/>
      <c r="D8" s="15"/>
      <c r="E8" s="15"/>
      <c r="F8" s="16"/>
    </row>
    <row r="9" spans="1:6" ht="19.5" hidden="1" customHeight="1">
      <c r="A9" s="17"/>
      <c r="B9" s="15"/>
      <c r="C9" s="15"/>
      <c r="D9" s="15"/>
      <c r="E9" s="15"/>
      <c r="F9" s="16"/>
    </row>
    <row r="10" spans="1:6" ht="18.75" hidden="1" customHeight="1" thickBot="1">
      <c r="A10" s="18"/>
      <c r="B10" s="15"/>
      <c r="C10" s="19"/>
      <c r="D10" s="19"/>
      <c r="E10" s="19"/>
      <c r="F10" s="20"/>
    </row>
    <row r="11" spans="1:6">
      <c r="A11" s="21" t="s">
        <v>41</v>
      </c>
      <c r="B11" s="22">
        <f>B4-B5-B6-B10</f>
        <v>176720</v>
      </c>
      <c r="C11" s="22">
        <f>C4-C5-C6-C10</f>
        <v>391040</v>
      </c>
      <c r="D11" s="22">
        <f>D4-D5-D6-D10</f>
        <v>473760</v>
      </c>
      <c r="E11" s="22">
        <f>E4-E5-E6-E10</f>
        <v>526400</v>
      </c>
      <c r="F11" s="23">
        <f>F4-F5-F6-F10</f>
        <v>705000</v>
      </c>
    </row>
    <row r="12" spans="1:6">
      <c r="A12" s="24" t="s">
        <v>42</v>
      </c>
      <c r="B12" s="25">
        <f>IF(Продажи!B13&lt;10,Затраты!$G$25,IF(AND(Продажи!B13&gt;10,Продажи!B13&lt;15),Затраты!$G$26,Затраты!$G$27))</f>
        <v>154400</v>
      </c>
      <c r="C12" s="25">
        <f>IF(Продажи!C13&lt;10,Затраты!$G$25,IF(AND(Продажи!C13&gt;10,Продажи!C13&lt;15),Затраты!$G$26,Затраты!$G$27))</f>
        <v>154400</v>
      </c>
      <c r="D12" s="25">
        <f>IF(Продажи!D13&lt;10,Затраты!$G$25,IF(AND(Продажи!D13&gt;10,Продажи!D13&lt;15),Затраты!$G$26,Затраты!$G$27))</f>
        <v>154400</v>
      </c>
      <c r="E12" s="25">
        <f>IF(Продажи!E13&lt;10,Затраты!$G$25,IF(AND(Продажи!E13&gt;10,Продажи!E13&lt;15),Затраты!$G$26,Затраты!$G$27))</f>
        <v>154400</v>
      </c>
      <c r="F12" s="26">
        <f>IF(Продажи!F13&lt;10,Затраты!$G$25,IF(AND(Продажи!F13&gt;10,Продажи!F13&lt;15),Затраты!$G$26,Затраты!$G$27))</f>
        <v>154400</v>
      </c>
    </row>
    <row r="13" spans="1:6">
      <c r="A13" s="24" t="s">
        <v>43</v>
      </c>
      <c r="B13" s="25">
        <f>IF(Титул!G19&lt;500,Затраты!F9,Затраты!G9)</f>
        <v>89500</v>
      </c>
      <c r="C13" s="25">
        <f>B13</f>
        <v>89500</v>
      </c>
      <c r="D13" s="25">
        <f t="shared" ref="D13:F13" si="1">C13</f>
        <v>89500</v>
      </c>
      <c r="E13" s="25">
        <f t="shared" si="1"/>
        <v>89500</v>
      </c>
      <c r="F13" s="26">
        <f t="shared" si="1"/>
        <v>89500</v>
      </c>
    </row>
    <row r="14" spans="1:6" ht="15.75" thickBot="1">
      <c r="A14" s="27" t="s">
        <v>44</v>
      </c>
      <c r="B14" s="28"/>
      <c r="C14" s="28"/>
      <c r="D14" s="28"/>
      <c r="E14" s="28"/>
      <c r="F14" s="29">
        <f>Затраты!G34</f>
        <v>22000</v>
      </c>
    </row>
    <row r="15" spans="1:6" ht="15.75" thickBot="1">
      <c r="A15" s="6" t="s">
        <v>45</v>
      </c>
      <c r="B15" s="4">
        <f>B11-B12-B13</f>
        <v>-67180</v>
      </c>
      <c r="C15" s="4">
        <f t="shared" ref="C15:F15" si="2">C11-C12-C13</f>
        <v>147140</v>
      </c>
      <c r="D15" s="4">
        <f t="shared" si="2"/>
        <v>229860</v>
      </c>
      <c r="E15" s="4">
        <f t="shared" si="2"/>
        <v>282500</v>
      </c>
      <c r="F15" s="5">
        <f t="shared" si="2"/>
        <v>461100</v>
      </c>
    </row>
    <row r="16" spans="1:6" ht="15.75" thickBot="1">
      <c r="A16" s="7" t="s">
        <v>47</v>
      </c>
      <c r="B16" s="4">
        <f>B15</f>
        <v>-67180</v>
      </c>
      <c r="C16" s="4">
        <f>B16+C15</f>
        <v>79960</v>
      </c>
      <c r="D16" s="4">
        <f t="shared" ref="D16:F16" si="3">C16+D15</f>
        <v>309820</v>
      </c>
      <c r="E16" s="4">
        <f t="shared" si="3"/>
        <v>592320</v>
      </c>
      <c r="F16" s="5">
        <f t="shared" si="3"/>
        <v>1053420</v>
      </c>
    </row>
    <row r="17" spans="1:6" s="3" customFormat="1" ht="15.75" hidden="1" thickBot="1">
      <c r="A17" s="7" t="s">
        <v>51</v>
      </c>
      <c r="B17" s="4">
        <f>IF(Титул!G19&lt;300,Затраты!F8+Затраты!G25,Затраты!G8+Затраты!G25)</f>
        <v>554400</v>
      </c>
      <c r="C17" s="93"/>
      <c r="D17" s="4"/>
      <c r="E17" s="4"/>
      <c r="F17" s="5"/>
    </row>
    <row r="18" spans="1:6" s="3" customFormat="1" ht="15.75" hidden="1" thickBot="1">
      <c r="A18" s="7"/>
      <c r="B18" s="4">
        <f>B16-B17</f>
        <v>-621580</v>
      </c>
      <c r="C18" s="93">
        <f>B18+C16</f>
        <v>-541620</v>
      </c>
      <c r="D18" s="4">
        <f t="shared" ref="D18:F18" si="4">C18+D16</f>
        <v>-231800</v>
      </c>
      <c r="E18" s="4">
        <f t="shared" si="4"/>
        <v>360520</v>
      </c>
      <c r="F18" s="5">
        <f t="shared" si="4"/>
        <v>1413940</v>
      </c>
    </row>
    <row r="19" spans="1:6" ht="15.75" thickBot="1">
      <c r="A19" s="30" t="s">
        <v>52</v>
      </c>
      <c r="B19" s="97" t="str">
        <f>IF(B18&lt;0,"",B3)</f>
        <v/>
      </c>
      <c r="C19" s="98" t="str">
        <f>IF(C18&lt;0,"",IF(B18&gt;0,"",C3))</f>
        <v/>
      </c>
      <c r="D19" s="97" t="str">
        <f>IF(D18&lt;0,"",IF(C18&gt;0,"",D3))</f>
        <v/>
      </c>
      <c r="E19" s="97">
        <v>4</v>
      </c>
      <c r="F19" s="99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Затраты</vt:lpstr>
      <vt:lpstr>Продажи</vt:lpstr>
      <vt:lpstr>Прибыль_окупаемость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2015-01-13T17:01:11Z</dcterms:created>
  <dcterms:modified xsi:type="dcterms:W3CDTF">2015-04-06T10:41:01Z</dcterms:modified>
</cp:coreProperties>
</file>