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608" windowHeight="6852"/>
  </bookViews>
  <sheets>
    <sheet name="пессимистичный" sheetId="1" r:id="rId1"/>
    <sheet name="реалистичный" sheetId="8" r:id="rId2"/>
    <sheet name="оптимистичный" sheetId="9" r:id="rId3"/>
    <sheet name="Расчет наценки" sheetId="7" r:id="rId4"/>
    <sheet name="сезон" sheetId="2" state="hidden" r:id="rId5"/>
  </sheets>
  <calcPr calcId="125725" refMode="R1C1"/>
</workbook>
</file>

<file path=xl/calcChain.xml><?xml version="1.0" encoding="utf-8"?>
<calcChain xmlns="http://schemas.openxmlformats.org/spreadsheetml/2006/main">
  <c r="D40" i="9"/>
  <c r="C40"/>
  <c r="E39"/>
  <c r="N39" s="1"/>
  <c r="Q39" s="1"/>
  <c r="R35" s="1"/>
  <c r="U38"/>
  <c r="P38"/>
  <c r="K38"/>
  <c r="E38"/>
  <c r="B38"/>
  <c r="Z38" s="1"/>
  <c r="Z37"/>
  <c r="T37"/>
  <c r="L37"/>
  <c r="E37"/>
  <c r="B37"/>
  <c r="Y37" s="1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Z35"/>
  <c r="Y35"/>
  <c r="W35"/>
  <c r="V35"/>
  <c r="T35"/>
  <c r="S35"/>
  <c r="Q35"/>
  <c r="P35"/>
  <c r="N35"/>
  <c r="M35"/>
  <c r="K35"/>
  <c r="J35"/>
  <c r="H35"/>
  <c r="G35"/>
  <c r="E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32"/>
  <c r="D32" s="1"/>
  <c r="E32" s="1"/>
  <c r="F32" s="1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25" s="1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5"/>
  <c r="Z11" s="1"/>
  <c r="Y15"/>
  <c r="Y11" s="1"/>
  <c r="X15"/>
  <c r="W15"/>
  <c r="W11" s="1"/>
  <c r="V15"/>
  <c r="U15"/>
  <c r="T15"/>
  <c r="S15"/>
  <c r="S11" s="1"/>
  <c r="R15"/>
  <c r="R11" s="1"/>
  <c r="Q15"/>
  <c r="Q11" s="1"/>
  <c r="P15"/>
  <c r="O15"/>
  <c r="O11" s="1"/>
  <c r="N15"/>
  <c r="N11" s="1"/>
  <c r="M15"/>
  <c r="M11" s="1"/>
  <c r="L15"/>
  <c r="L11" s="1"/>
  <c r="K15"/>
  <c r="K11" s="1"/>
  <c r="J15"/>
  <c r="J11" s="1"/>
  <c r="I15"/>
  <c r="I11" s="1"/>
  <c r="H15"/>
  <c r="G15"/>
  <c r="G11" s="1"/>
  <c r="F15"/>
  <c r="F11" s="1"/>
  <c r="E15"/>
  <c r="E11" s="1"/>
  <c r="D15"/>
  <c r="C15"/>
  <c r="Z13"/>
  <c r="P13"/>
  <c r="O13"/>
  <c r="N13"/>
  <c r="D12"/>
  <c r="D11" s="1"/>
  <c r="C12"/>
  <c r="X11"/>
  <c r="V11"/>
  <c r="U11"/>
  <c r="T11"/>
  <c r="P11"/>
  <c r="H11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4"/>
  <c r="B3"/>
  <c r="B2" s="1"/>
  <c r="B44" s="1"/>
  <c r="D40" i="8"/>
  <c r="C40"/>
  <c r="Q39"/>
  <c r="R35" s="1"/>
  <c r="E39"/>
  <c r="N39" s="1"/>
  <c r="X38"/>
  <c r="S38"/>
  <c r="M38"/>
  <c r="I38"/>
  <c r="H38"/>
  <c r="D38"/>
  <c r="C38"/>
  <c r="B38"/>
  <c r="Z38" s="1"/>
  <c r="B37"/>
  <c r="U37" s="1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Z35"/>
  <c r="Y35"/>
  <c r="W35"/>
  <c r="V35"/>
  <c r="T35"/>
  <c r="S35"/>
  <c r="Q35"/>
  <c r="P35"/>
  <c r="O35"/>
  <c r="N35"/>
  <c r="M35"/>
  <c r="K35"/>
  <c r="J35"/>
  <c r="H35"/>
  <c r="G35"/>
  <c r="F35"/>
  <c r="E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32"/>
  <c r="D32" s="1"/>
  <c r="E32" s="1"/>
  <c r="F32" s="1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25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5"/>
  <c r="Z11" s="1"/>
  <c r="Y15"/>
  <c r="X15"/>
  <c r="W15"/>
  <c r="W11" s="1"/>
  <c r="V15"/>
  <c r="U15"/>
  <c r="T15"/>
  <c r="S15"/>
  <c r="S11" s="1"/>
  <c r="R15"/>
  <c r="Q15"/>
  <c r="P15"/>
  <c r="P11" s="1"/>
  <c r="O15"/>
  <c r="O11" s="1"/>
  <c r="N15"/>
  <c r="N11" s="1"/>
  <c r="M15"/>
  <c r="L15"/>
  <c r="K15"/>
  <c r="K11" s="1"/>
  <c r="J15"/>
  <c r="J11" s="1"/>
  <c r="I15"/>
  <c r="H15"/>
  <c r="H11" s="1"/>
  <c r="G15"/>
  <c r="G11" s="1"/>
  <c r="F15"/>
  <c r="E15"/>
  <c r="D15"/>
  <c r="C15"/>
  <c r="C11" s="1"/>
  <c r="Z13"/>
  <c r="P13"/>
  <c r="O13"/>
  <c r="N13"/>
  <c r="D12"/>
  <c r="D11" s="1"/>
  <c r="C12"/>
  <c r="Y11"/>
  <c r="X11"/>
  <c r="V11"/>
  <c r="U11"/>
  <c r="T11"/>
  <c r="R11"/>
  <c r="Q11"/>
  <c r="M11"/>
  <c r="L11"/>
  <c r="I11"/>
  <c r="F11"/>
  <c r="E11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4"/>
  <c r="B3"/>
  <c r="B2"/>
  <c r="B44" s="1"/>
  <c r="F3" i="7"/>
  <c r="F4"/>
  <c r="F5"/>
  <c r="F6"/>
  <c r="F7"/>
  <c r="F8"/>
  <c r="F9"/>
  <c r="F2"/>
  <c r="E2"/>
  <c r="E9"/>
  <c r="D9"/>
  <c r="E8"/>
  <c r="D8"/>
  <c r="E7"/>
  <c r="D7"/>
  <c r="E6"/>
  <c r="D6"/>
  <c r="E5"/>
  <c r="D5"/>
  <c r="E4"/>
  <c r="D4"/>
  <c r="E3"/>
  <c r="D3"/>
  <c r="D2"/>
  <c r="B3" i="1"/>
  <c r="P6" i="9" l="1"/>
  <c r="Q28" s="1"/>
  <c r="Q25" s="1"/>
  <c r="P6" i="8"/>
  <c r="Q28" s="1"/>
  <c r="Q25" s="1"/>
  <c r="O31"/>
  <c r="O31" i="9"/>
  <c r="I37" i="8"/>
  <c r="I31" i="9"/>
  <c r="Y31"/>
  <c r="D31" i="8"/>
  <c r="H31"/>
  <c r="L31"/>
  <c r="P31"/>
  <c r="T31"/>
  <c r="X31"/>
  <c r="D37"/>
  <c r="J37"/>
  <c r="Q37"/>
  <c r="Y37"/>
  <c r="O38"/>
  <c r="T38"/>
  <c r="Y38"/>
  <c r="F31" i="9"/>
  <c r="J31"/>
  <c r="N31"/>
  <c r="R31"/>
  <c r="V31"/>
  <c r="Z31"/>
  <c r="O35"/>
  <c r="F37"/>
  <c r="N37"/>
  <c r="U37"/>
  <c r="G38"/>
  <c r="L38"/>
  <c r="Q38"/>
  <c r="W38"/>
  <c r="K31" i="8"/>
  <c r="P37"/>
  <c r="M31" i="9"/>
  <c r="U31"/>
  <c r="E31" i="8"/>
  <c r="I31"/>
  <c r="M31"/>
  <c r="Q31"/>
  <c r="Q24" s="1"/>
  <c r="U31"/>
  <c r="Y31"/>
  <c r="E37"/>
  <c r="L37"/>
  <c r="T37"/>
  <c r="Z37"/>
  <c r="E38"/>
  <c r="K38"/>
  <c r="P38"/>
  <c r="U38"/>
  <c r="K31" i="9"/>
  <c r="C11"/>
  <c r="F35"/>
  <c r="I37"/>
  <c r="P37"/>
  <c r="V37"/>
  <c r="C38"/>
  <c r="H38"/>
  <c r="M38"/>
  <c r="S38"/>
  <c r="X38"/>
  <c r="V37" i="8"/>
  <c r="E31" i="9"/>
  <c r="Q31"/>
  <c r="E10" i="7"/>
  <c r="F31" i="8"/>
  <c r="J31"/>
  <c r="N31"/>
  <c r="R31"/>
  <c r="V31"/>
  <c r="Z31"/>
  <c r="F37"/>
  <c r="N37"/>
  <c r="G38"/>
  <c r="L38"/>
  <c r="Q38"/>
  <c r="W38"/>
  <c r="D31" i="9"/>
  <c r="H31"/>
  <c r="L31"/>
  <c r="P31"/>
  <c r="T31"/>
  <c r="X31"/>
  <c r="D37"/>
  <c r="J37"/>
  <c r="Q37"/>
  <c r="D38"/>
  <c r="I38"/>
  <c r="O38"/>
  <c r="T38"/>
  <c r="Y38"/>
  <c r="T6"/>
  <c r="U28" s="1"/>
  <c r="U25" s="1"/>
  <c r="H6"/>
  <c r="I28" s="1"/>
  <c r="I25" s="1"/>
  <c r="Y6"/>
  <c r="Z28" s="1"/>
  <c r="Z25" s="1"/>
  <c r="D6"/>
  <c r="E28" s="1"/>
  <c r="E25" s="1"/>
  <c r="E24" s="1"/>
  <c r="J6"/>
  <c r="N6"/>
  <c r="O28" s="1"/>
  <c r="O25" s="1"/>
  <c r="Z6"/>
  <c r="I6"/>
  <c r="J28" s="1"/>
  <c r="J25" s="1"/>
  <c r="L6"/>
  <c r="X6"/>
  <c r="C6"/>
  <c r="G6"/>
  <c r="H28" s="1"/>
  <c r="H25" s="1"/>
  <c r="K6"/>
  <c r="L28" s="1"/>
  <c r="L25" s="1"/>
  <c r="O6"/>
  <c r="S6"/>
  <c r="T28" s="1"/>
  <c r="T25" s="1"/>
  <c r="T24" s="1"/>
  <c r="T41" s="1"/>
  <c r="W6"/>
  <c r="X28" s="1"/>
  <c r="X25" s="1"/>
  <c r="K28"/>
  <c r="K25" s="1"/>
  <c r="M28"/>
  <c r="M25" s="1"/>
  <c r="Y28"/>
  <c r="Y25" s="1"/>
  <c r="E6"/>
  <c r="U6"/>
  <c r="T39"/>
  <c r="F6"/>
  <c r="Q6"/>
  <c r="V6"/>
  <c r="D28"/>
  <c r="D25" s="1"/>
  <c r="D24" s="1"/>
  <c r="G31"/>
  <c r="W31"/>
  <c r="H39"/>
  <c r="M6"/>
  <c r="R6"/>
  <c r="P28"/>
  <c r="P25" s="1"/>
  <c r="C31"/>
  <c r="S31"/>
  <c r="W37"/>
  <c r="S37"/>
  <c r="O37"/>
  <c r="K37"/>
  <c r="G37"/>
  <c r="C37"/>
  <c r="H37"/>
  <c r="M37"/>
  <c r="R37"/>
  <c r="X37"/>
  <c r="B41"/>
  <c r="F38"/>
  <c r="J38"/>
  <c r="N38"/>
  <c r="R38"/>
  <c r="V38"/>
  <c r="T6" i="8"/>
  <c r="U28" s="1"/>
  <c r="U25" s="1"/>
  <c r="H6"/>
  <c r="I28" s="1"/>
  <c r="I25" s="1"/>
  <c r="Y6"/>
  <c r="Z28" s="1"/>
  <c r="Z25" s="1"/>
  <c r="D6"/>
  <c r="J6"/>
  <c r="K28" s="1"/>
  <c r="K25" s="1"/>
  <c r="N6"/>
  <c r="O28" s="1"/>
  <c r="O25" s="1"/>
  <c r="Z6"/>
  <c r="I6"/>
  <c r="J28" s="1"/>
  <c r="J25" s="1"/>
  <c r="L6"/>
  <c r="M28" s="1"/>
  <c r="M25" s="1"/>
  <c r="X6"/>
  <c r="C6"/>
  <c r="D28" s="1"/>
  <c r="D25" s="1"/>
  <c r="G6"/>
  <c r="H28" s="1"/>
  <c r="H25" s="1"/>
  <c r="K6"/>
  <c r="L28" s="1"/>
  <c r="L25" s="1"/>
  <c r="O6"/>
  <c r="S6"/>
  <c r="T28" s="1"/>
  <c r="T25" s="1"/>
  <c r="W6"/>
  <c r="X28" s="1"/>
  <c r="X25" s="1"/>
  <c r="E28"/>
  <c r="E25" s="1"/>
  <c r="Y28"/>
  <c r="Y25" s="1"/>
  <c r="Y24" s="1"/>
  <c r="E6"/>
  <c r="U6"/>
  <c r="T39"/>
  <c r="F6"/>
  <c r="Q6"/>
  <c r="V6"/>
  <c r="G31"/>
  <c r="W31"/>
  <c r="H39"/>
  <c r="M6"/>
  <c r="R6"/>
  <c r="P28"/>
  <c r="P25" s="1"/>
  <c r="C31"/>
  <c r="S31"/>
  <c r="W37"/>
  <c r="S37"/>
  <c r="O37"/>
  <c r="K37"/>
  <c r="G37"/>
  <c r="C37"/>
  <c r="H37"/>
  <c r="M37"/>
  <c r="R37"/>
  <c r="X37"/>
  <c r="B41"/>
  <c r="F38"/>
  <c r="J38"/>
  <c r="N38"/>
  <c r="R38"/>
  <c r="V38"/>
  <c r="B38" i="1"/>
  <c r="K24" i="8" l="1"/>
  <c r="P24" i="9"/>
  <c r="P41" s="1"/>
  <c r="E24" i="8"/>
  <c r="E41" s="1"/>
  <c r="Y24" i="9"/>
  <c r="Y41" s="1"/>
  <c r="P24" i="8"/>
  <c r="P41" s="1"/>
  <c r="C24"/>
  <c r="C41" s="1"/>
  <c r="C44" s="1"/>
  <c r="J24"/>
  <c r="J41" s="1"/>
  <c r="H24"/>
  <c r="H41" s="1"/>
  <c r="Z24" i="9"/>
  <c r="Q24"/>
  <c r="Q41" s="1"/>
  <c r="M24" i="8"/>
  <c r="M41" s="1"/>
  <c r="T24"/>
  <c r="T41" s="1"/>
  <c r="D24"/>
  <c r="D41" s="1"/>
  <c r="Z24"/>
  <c r="C24" i="9"/>
  <c r="C41" s="1"/>
  <c r="C44" s="1"/>
  <c r="M24"/>
  <c r="M41" s="1"/>
  <c r="J24"/>
  <c r="J41" s="1"/>
  <c r="K24"/>
  <c r="H24"/>
  <c r="H41" s="1"/>
  <c r="D41"/>
  <c r="K39"/>
  <c r="I35"/>
  <c r="R28"/>
  <c r="R25" s="1"/>
  <c r="R24" s="1"/>
  <c r="R41" s="1"/>
  <c r="F28"/>
  <c r="F25" s="1"/>
  <c r="F24" s="1"/>
  <c r="F41" s="1"/>
  <c r="E41"/>
  <c r="S28"/>
  <c r="S25" s="1"/>
  <c r="S24" s="1"/>
  <c r="S41" s="1"/>
  <c r="G28"/>
  <c r="G25" s="1"/>
  <c r="G24" s="1"/>
  <c r="G41" s="1"/>
  <c r="N28"/>
  <c r="N25" s="1"/>
  <c r="N24" s="1"/>
  <c r="N41" s="1"/>
  <c r="W39"/>
  <c r="U35"/>
  <c r="U24" s="1"/>
  <c r="U41" s="1"/>
  <c r="W28"/>
  <c r="W25" s="1"/>
  <c r="W24" s="1"/>
  <c r="V28"/>
  <c r="V25" s="1"/>
  <c r="V24" s="1"/>
  <c r="V41" s="1"/>
  <c r="O24"/>
  <c r="O41" s="1"/>
  <c r="I24"/>
  <c r="Y41" i="8"/>
  <c r="K39"/>
  <c r="I35"/>
  <c r="R28"/>
  <c r="R25" s="1"/>
  <c r="R24" s="1"/>
  <c r="R41" s="1"/>
  <c r="Q41"/>
  <c r="F28"/>
  <c r="F25" s="1"/>
  <c r="F24" s="1"/>
  <c r="S28"/>
  <c r="S25" s="1"/>
  <c r="S24" s="1"/>
  <c r="S41" s="1"/>
  <c r="G28"/>
  <c r="G25" s="1"/>
  <c r="G24" s="1"/>
  <c r="G41" s="1"/>
  <c r="N28"/>
  <c r="N25" s="1"/>
  <c r="N24" s="1"/>
  <c r="N41" s="1"/>
  <c r="W39"/>
  <c r="U35"/>
  <c r="U24" s="1"/>
  <c r="U41" s="1"/>
  <c r="W28"/>
  <c r="W25" s="1"/>
  <c r="W24" s="1"/>
  <c r="V28"/>
  <c r="V25" s="1"/>
  <c r="V24" s="1"/>
  <c r="V41" s="1"/>
  <c r="O24"/>
  <c r="O41" s="1"/>
  <c r="I24"/>
  <c r="D21" i="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C21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C18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C15"/>
  <c r="Z13"/>
  <c r="P13"/>
  <c r="O13"/>
  <c r="N13"/>
  <c r="D12"/>
  <c r="C12"/>
  <c r="E40" i="9" l="1"/>
  <c r="D44" i="8"/>
  <c r="E44" s="1"/>
  <c r="E40"/>
  <c r="H40"/>
  <c r="W41"/>
  <c r="D44" i="9"/>
  <c r="E44" s="1"/>
  <c r="F44" s="1"/>
  <c r="G44" s="1"/>
  <c r="H44" s="1"/>
  <c r="W41"/>
  <c r="H40"/>
  <c r="T40"/>
  <c r="K40"/>
  <c r="I41"/>
  <c r="Z39"/>
  <c r="Z41" s="1"/>
  <c r="X35"/>
  <c r="X24" s="1"/>
  <c r="W40"/>
  <c r="Q40"/>
  <c r="L35"/>
  <c r="L24" s="1"/>
  <c r="K41"/>
  <c r="F41" i="8"/>
  <c r="T40"/>
  <c r="K40"/>
  <c r="I41"/>
  <c r="Z39"/>
  <c r="Z41" s="1"/>
  <c r="X35"/>
  <c r="X24" s="1"/>
  <c r="W40"/>
  <c r="Q40"/>
  <c r="L35"/>
  <c r="L24" s="1"/>
  <c r="K41"/>
  <c r="C11" i="1"/>
  <c r="W11"/>
  <c r="S11"/>
  <c r="O11"/>
  <c r="K11"/>
  <c r="G11"/>
  <c r="Z11"/>
  <c r="V11"/>
  <c r="R11"/>
  <c r="N11"/>
  <c r="J11"/>
  <c r="F11"/>
  <c r="Y11"/>
  <c r="U11"/>
  <c r="Q11"/>
  <c r="M11"/>
  <c r="I11"/>
  <c r="E11"/>
  <c r="X11"/>
  <c r="T11"/>
  <c r="P11"/>
  <c r="L11"/>
  <c r="H11"/>
  <c r="D11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C30"/>
  <c r="C29"/>
  <c r="E39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C26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C9"/>
  <c r="E8"/>
  <c r="F8"/>
  <c r="I8"/>
  <c r="I7" s="1"/>
  <c r="I31" s="1"/>
  <c r="J8"/>
  <c r="M8"/>
  <c r="N8"/>
  <c r="Q8"/>
  <c r="Q7" s="1"/>
  <c r="Q31" s="1"/>
  <c r="R8"/>
  <c r="U8"/>
  <c r="V8"/>
  <c r="Y8"/>
  <c r="Y7" s="1"/>
  <c r="Y31" s="1"/>
  <c r="Z8"/>
  <c r="G8"/>
  <c r="B4"/>
  <c r="B37"/>
  <c r="K37" s="1"/>
  <c r="C32"/>
  <c r="D32" s="1"/>
  <c r="E32" s="1"/>
  <c r="F32" s="1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F44" i="8" l="1"/>
  <c r="G44" s="1"/>
  <c r="H44" s="1"/>
  <c r="I44" i="9"/>
  <c r="J44" s="1"/>
  <c r="K44" s="1"/>
  <c r="N7" i="1"/>
  <c r="N31" s="1"/>
  <c r="Q6"/>
  <c r="R28" s="1"/>
  <c r="F6"/>
  <c r="G28" s="1"/>
  <c r="V7"/>
  <c r="V31" s="1"/>
  <c r="F7"/>
  <c r="F31" s="1"/>
  <c r="G7"/>
  <c r="G31" s="1"/>
  <c r="U7"/>
  <c r="U31" s="1"/>
  <c r="M7"/>
  <c r="M31" s="1"/>
  <c r="E7"/>
  <c r="E31" s="1"/>
  <c r="U6"/>
  <c r="V28" s="1"/>
  <c r="N6"/>
  <c r="O28" s="1"/>
  <c r="Z7"/>
  <c r="Z31" s="1"/>
  <c r="R7"/>
  <c r="R31" s="1"/>
  <c r="J7"/>
  <c r="J31" s="1"/>
  <c r="I6"/>
  <c r="J28" s="1"/>
  <c r="Y6"/>
  <c r="Z28" s="1"/>
  <c r="R6"/>
  <c r="S28" s="1"/>
  <c r="L41" i="9"/>
  <c r="N40"/>
  <c r="X41"/>
  <c r="Z40"/>
  <c r="I44" i="8"/>
  <c r="J44" s="1"/>
  <c r="K44" s="1"/>
  <c r="L41"/>
  <c r="N40"/>
  <c r="X41"/>
  <c r="Z40"/>
  <c r="V37" i="1"/>
  <c r="B2"/>
  <c r="D37"/>
  <c r="I37"/>
  <c r="N37"/>
  <c r="S37"/>
  <c r="Y37"/>
  <c r="E37"/>
  <c r="J37"/>
  <c r="O37"/>
  <c r="U37"/>
  <c r="Z37"/>
  <c r="R37"/>
  <c r="G37"/>
  <c r="C37"/>
  <c r="Q37"/>
  <c r="F37"/>
  <c r="N39"/>
  <c r="Q39" s="1"/>
  <c r="T39" s="1"/>
  <c r="W39" s="1"/>
  <c r="Z39" s="1"/>
  <c r="H39"/>
  <c r="K39" s="1"/>
  <c r="W37"/>
  <c r="M37"/>
  <c r="X8"/>
  <c r="X7" s="1"/>
  <c r="X31" s="1"/>
  <c r="T8"/>
  <c r="T7" s="1"/>
  <c r="T31" s="1"/>
  <c r="P8"/>
  <c r="P7" s="1"/>
  <c r="P31" s="1"/>
  <c r="L8"/>
  <c r="L7" s="1"/>
  <c r="L31" s="1"/>
  <c r="H8"/>
  <c r="H7" s="1"/>
  <c r="H31" s="1"/>
  <c r="D8"/>
  <c r="D7" s="1"/>
  <c r="D31" s="1"/>
  <c r="C8"/>
  <c r="C7" s="1"/>
  <c r="C31" s="1"/>
  <c r="W8"/>
  <c r="W7" s="1"/>
  <c r="W31" s="1"/>
  <c r="S8"/>
  <c r="S7" s="1"/>
  <c r="S31" s="1"/>
  <c r="O8"/>
  <c r="O7" s="1"/>
  <c r="O31" s="1"/>
  <c r="K8"/>
  <c r="K7" s="1"/>
  <c r="K31" s="1"/>
  <c r="X37"/>
  <c r="T37"/>
  <c r="P37"/>
  <c r="L37"/>
  <c r="H37"/>
  <c r="V6" l="1"/>
  <c r="W28" s="1"/>
  <c r="H6"/>
  <c r="I28" s="1"/>
  <c r="L6"/>
  <c r="M28" s="1"/>
  <c r="G6"/>
  <c r="H28" s="1"/>
  <c r="Z6"/>
  <c r="T6"/>
  <c r="U28" s="1"/>
  <c r="J6"/>
  <c r="K28" s="1"/>
  <c r="C6"/>
  <c r="D28" s="1"/>
  <c r="D6"/>
  <c r="E28" s="1"/>
  <c r="O6"/>
  <c r="P28" s="1"/>
  <c r="K6"/>
  <c r="L28" s="1"/>
  <c r="P6"/>
  <c r="Q28" s="1"/>
  <c r="W6"/>
  <c r="X28" s="1"/>
  <c r="E6"/>
  <c r="F28" s="1"/>
  <c r="S6"/>
  <c r="T28" s="1"/>
  <c r="X6"/>
  <c r="Y28" s="1"/>
  <c r="M6"/>
  <c r="N28" s="1"/>
  <c r="L44" i="9"/>
  <c r="M44" s="1"/>
  <c r="N44" s="1"/>
  <c r="O44" s="1"/>
  <c r="P44" s="1"/>
  <c r="Q44" s="1"/>
  <c r="R44" s="1"/>
  <c r="S44" s="1"/>
  <c r="T44" s="1"/>
  <c r="U44" s="1"/>
  <c r="V44" s="1"/>
  <c r="W44" s="1"/>
  <c r="X44" s="1"/>
  <c r="Y44" s="1"/>
  <c r="Z44" s="1"/>
  <c r="L44" i="8"/>
  <c r="M44" s="1"/>
  <c r="N44" s="1"/>
  <c r="O44" s="1"/>
  <c r="P44" s="1"/>
  <c r="Q44" s="1"/>
  <c r="R44" s="1"/>
  <c r="S44" s="1"/>
  <c r="T44" s="1"/>
  <c r="U44" s="1"/>
  <c r="V44" s="1"/>
  <c r="W44" s="1"/>
  <c r="X44" s="1"/>
  <c r="Y44" s="1"/>
  <c r="Z44" s="1"/>
  <c r="B44" i="1"/>
  <c r="B41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C38"/>
  <c r="Y27"/>
  <c r="C34"/>
  <c r="D34"/>
  <c r="E34"/>
  <c r="F27" l="1"/>
  <c r="J27"/>
  <c r="N27"/>
  <c r="R27"/>
  <c r="V27"/>
  <c r="Z27"/>
  <c r="C27"/>
  <c r="G27"/>
  <c r="K27"/>
  <c r="O27"/>
  <c r="S27"/>
  <c r="W27"/>
  <c r="D27"/>
  <c r="H27"/>
  <c r="L27"/>
  <c r="P27"/>
  <c r="T27"/>
  <c r="X27"/>
  <c r="E27"/>
  <c r="I27"/>
  <c r="M27"/>
  <c r="Q27"/>
  <c r="U27"/>
  <c r="E35" l="1"/>
  <c r="D36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Q36" l="1"/>
  <c r="O36"/>
  <c r="Y36"/>
  <c r="I36"/>
  <c r="W36"/>
  <c r="E36"/>
  <c r="U36"/>
  <c r="M36"/>
  <c r="C36"/>
  <c r="S36"/>
  <c r="K36"/>
  <c r="G36"/>
  <c r="Z36"/>
  <c r="V36"/>
  <c r="R36"/>
  <c r="N36"/>
  <c r="J36"/>
  <c r="F36"/>
  <c r="X36"/>
  <c r="T36"/>
  <c r="P36"/>
  <c r="L36"/>
  <c r="H36"/>
  <c r="C25" l="1"/>
  <c r="C24" s="1"/>
  <c r="C41" s="1"/>
  <c r="C44" s="1"/>
  <c r="B8" i="2"/>
  <c r="D9"/>
  <c r="N21"/>
  <c r="M21"/>
  <c r="L21"/>
  <c r="K21"/>
  <c r="J21"/>
  <c r="I21"/>
  <c r="H21"/>
  <c r="G21"/>
  <c r="F21"/>
  <c r="F22" s="1"/>
  <c r="E21"/>
  <c r="D21"/>
  <c r="C21"/>
  <c r="N18"/>
  <c r="M18"/>
  <c r="L18"/>
  <c r="K18"/>
  <c r="J18"/>
  <c r="I18"/>
  <c r="H18"/>
  <c r="G18"/>
  <c r="F18"/>
  <c r="E18"/>
  <c r="D18"/>
  <c r="C18"/>
  <c r="N15"/>
  <c r="N14" s="1"/>
  <c r="M15"/>
  <c r="L15"/>
  <c r="K15"/>
  <c r="J15"/>
  <c r="I15"/>
  <c r="H15"/>
  <c r="G15"/>
  <c r="F15"/>
  <c r="E15"/>
  <c r="D15"/>
  <c r="C15"/>
  <c r="B5"/>
  <c r="B28" s="1"/>
  <c r="B4"/>
  <c r="C9"/>
  <c r="C23" s="1"/>
  <c r="N9"/>
  <c r="M9"/>
  <c r="L9"/>
  <c r="L16" s="1"/>
  <c r="L14" s="1"/>
  <c r="K9"/>
  <c r="J9"/>
  <c r="J16" s="1"/>
  <c r="I9"/>
  <c r="H9"/>
  <c r="H16" s="1"/>
  <c r="H14" s="1"/>
  <c r="G9"/>
  <c r="G11" s="1"/>
  <c r="G10" s="1"/>
  <c r="F9"/>
  <c r="F16" s="1"/>
  <c r="E9"/>
  <c r="C16"/>
  <c r="C14" s="1"/>
  <c r="M16"/>
  <c r="M14"/>
  <c r="N16"/>
  <c r="E11"/>
  <c r="E10" s="1"/>
  <c r="F11"/>
  <c r="F10" s="1"/>
  <c r="I22"/>
  <c r="J11"/>
  <c r="J10" s="1"/>
  <c r="J22"/>
  <c r="K22"/>
  <c r="M11"/>
  <c r="M10" s="1"/>
  <c r="M22"/>
  <c r="M20" s="1"/>
  <c r="N11"/>
  <c r="N10"/>
  <c r="N22"/>
  <c r="N27" s="1"/>
  <c r="D16"/>
  <c r="D14"/>
  <c r="D20" s="1"/>
  <c r="D11"/>
  <c r="D10" s="1"/>
  <c r="D22"/>
  <c r="D27"/>
  <c r="G16"/>
  <c r="G14" s="1"/>
  <c r="C28" l="1"/>
  <c r="L28"/>
  <c r="M28" s="1"/>
  <c r="E28"/>
  <c r="L22"/>
  <c r="H11"/>
  <c r="H10" s="1"/>
  <c r="I27"/>
  <c r="B2"/>
  <c r="C11"/>
  <c r="C10" s="1"/>
  <c r="L11"/>
  <c r="L10" s="1"/>
  <c r="C22"/>
  <c r="F14"/>
  <c r="F20" s="1"/>
  <c r="J14"/>
  <c r="J20" s="1"/>
  <c r="H27"/>
  <c r="N20"/>
  <c r="H22"/>
  <c r="H20" s="1"/>
  <c r="K27"/>
  <c r="N28"/>
  <c r="N29" s="1"/>
  <c r="D28"/>
  <c r="D29" s="1"/>
  <c r="L20"/>
  <c r="K16"/>
  <c r="K14" s="1"/>
  <c r="K20" s="1"/>
  <c r="I16"/>
  <c r="I14" s="1"/>
  <c r="I20" s="1"/>
  <c r="E16"/>
  <c r="E14" s="1"/>
  <c r="F27"/>
  <c r="J27"/>
  <c r="L27"/>
  <c r="F28"/>
  <c r="K11"/>
  <c r="K10" s="1"/>
  <c r="I11"/>
  <c r="I10" s="1"/>
  <c r="G22"/>
  <c r="G20" s="1"/>
  <c r="E22"/>
  <c r="E20" s="1"/>
  <c r="M27"/>
  <c r="M29" s="1"/>
  <c r="H28"/>
  <c r="C20" l="1"/>
  <c r="C25" s="1"/>
  <c r="D25" s="1"/>
  <c r="E25" s="1"/>
  <c r="F25" s="1"/>
  <c r="G25" s="1"/>
  <c r="H25" s="1"/>
  <c r="I25" s="1"/>
  <c r="J25" s="1"/>
  <c r="K25" s="1"/>
  <c r="L25" s="1"/>
  <c r="M25" s="1"/>
  <c r="N25" s="1"/>
  <c r="C27"/>
  <c r="C29" s="1"/>
  <c r="E27"/>
  <c r="E29" s="1"/>
  <c r="G27"/>
  <c r="F29"/>
  <c r="G28"/>
  <c r="I28"/>
  <c r="H29"/>
  <c r="G29" l="1"/>
  <c r="I29"/>
  <c r="J28"/>
  <c r="J29" l="1"/>
  <c r="K28"/>
  <c r="K29" l="1"/>
  <c r="L29"/>
  <c r="D25" i="1" l="1"/>
  <c r="D24" s="1"/>
  <c r="D41" s="1"/>
  <c r="D44" s="1"/>
  <c r="C40"/>
  <c r="D40" l="1"/>
  <c r="E25"/>
  <c r="E24" s="1"/>
  <c r="E41" s="1"/>
  <c r="E44" s="1"/>
  <c r="E40" l="1"/>
  <c r="F35"/>
  <c r="F25"/>
  <c r="F24" l="1"/>
  <c r="F41" s="1"/>
  <c r="F44" s="1"/>
  <c r="G35"/>
  <c r="G25" l="1"/>
  <c r="G24" s="1"/>
  <c r="G41" s="1"/>
  <c r="G44" s="1"/>
  <c r="H35" l="1"/>
  <c r="H25" l="1"/>
  <c r="H24" s="1"/>
  <c r="H41" s="1"/>
  <c r="H44" s="1"/>
  <c r="H40" l="1"/>
  <c r="I35"/>
  <c r="I25"/>
  <c r="I24" l="1"/>
  <c r="I41" s="1"/>
  <c r="I44" s="1"/>
  <c r="J25"/>
  <c r="J35" l="1"/>
  <c r="J24" s="1"/>
  <c r="J41" s="1"/>
  <c r="J44" s="1"/>
  <c r="K35" l="1"/>
  <c r="K25"/>
  <c r="K24" l="1"/>
  <c r="K41" s="1"/>
  <c r="K44" s="1"/>
  <c r="L25"/>
  <c r="K40" l="1"/>
  <c r="L35"/>
  <c r="L24" s="1"/>
  <c r="L41" s="1"/>
  <c r="L44" s="1"/>
  <c r="M35" l="1"/>
  <c r="M25"/>
  <c r="M24" l="1"/>
  <c r="M41" s="1"/>
  <c r="M44" s="1"/>
  <c r="N25"/>
  <c r="N35" l="1"/>
  <c r="N24" s="1"/>
  <c r="N41" s="1"/>
  <c r="N44" s="1"/>
  <c r="N40" l="1"/>
  <c r="O35"/>
  <c r="O25"/>
  <c r="O24" l="1"/>
  <c r="O41" s="1"/>
  <c r="O44" s="1"/>
  <c r="P25"/>
  <c r="P35" l="1"/>
  <c r="P24" s="1"/>
  <c r="P41" s="1"/>
  <c r="P44" s="1"/>
  <c r="Q25" l="1"/>
  <c r="Q35" l="1"/>
  <c r="Q24" s="1"/>
  <c r="Q41" s="1"/>
  <c r="Q44" s="1"/>
  <c r="Q40" l="1"/>
  <c r="R25"/>
  <c r="R35" l="1"/>
  <c r="R24" s="1"/>
  <c r="R41" s="1"/>
  <c r="R44" s="1"/>
  <c r="S25" l="1"/>
  <c r="S35" l="1"/>
  <c r="S24" s="1"/>
  <c r="S41" s="1"/>
  <c r="S44" s="1"/>
  <c r="T35" l="1"/>
  <c r="T25" l="1"/>
  <c r="T24" s="1"/>
  <c r="T41" s="1"/>
  <c r="T44" s="1"/>
  <c r="T40" l="1"/>
  <c r="U25"/>
  <c r="U35" l="1"/>
  <c r="U24" s="1"/>
  <c r="U41" s="1"/>
  <c r="U44" s="1"/>
  <c r="V25" l="1"/>
  <c r="V35" l="1"/>
  <c r="V24" s="1"/>
  <c r="V41" s="1"/>
  <c r="V44" s="1"/>
  <c r="W25" l="1"/>
  <c r="W35" l="1"/>
  <c r="W24" s="1"/>
  <c r="W41" s="1"/>
  <c r="W44" s="1"/>
  <c r="W40" l="1"/>
  <c r="X25"/>
  <c r="X35" l="1"/>
  <c r="X24" s="1"/>
  <c r="X41" s="1"/>
  <c r="X44" s="1"/>
  <c r="Y25" l="1"/>
  <c r="Y35" l="1"/>
  <c r="Y24" s="1"/>
  <c r="Y41" s="1"/>
  <c r="Y44" s="1"/>
  <c r="Z25" l="1"/>
  <c r="Z35"/>
  <c r="Z24" l="1"/>
  <c r="Z41" s="1"/>
  <c r="Z44" s="1"/>
  <c r="Z40" l="1"/>
</calcChain>
</file>

<file path=xl/comments1.xml><?xml version="1.0" encoding="utf-8"?>
<comments xmlns="http://schemas.openxmlformats.org/spreadsheetml/2006/main">
  <authors>
    <author>Евгения А. Губарькова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Стойка+стул+ ПК
</t>
        </r>
      </text>
    </comment>
    <comment ref="B28" authorId="0">
      <text>
        <r>
          <rPr>
            <b/>
            <sz val="9"/>
            <color indexed="81"/>
            <rFont val="Tahoma"/>
            <charset val="1"/>
          </rPr>
          <t>Евгения А. Губарькова:</t>
        </r>
        <r>
          <rPr>
            <sz val="9"/>
            <color indexed="81"/>
            <rFont val="Tahoma"/>
            <charset val="1"/>
          </rPr>
          <t xml:space="preserve">
Бонусная часть - 5%-от объема продаж
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9445 - МРОТ по Санкт-Петербургу,в др регионах он отличается от установленного в Санкт-Петерьурге
</t>
        </r>
      </text>
    </comment>
    <comment ref="B29" authorId="0">
      <text>
        <r>
          <rPr>
            <b/>
            <sz val="9"/>
            <color indexed="81"/>
            <rFont val="Tahoma"/>
            <charset val="1"/>
          </rPr>
          <t>Евгения А. Губарькова: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Прошу обратить внимание, что в разных регионах % страх. взносов различен.  В этой строке необходимо указывать % страх. взносов на одного человека.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из разсчета 2000руб в неделю за 14 комплектов, за 35 = 5000 руб
</t>
        </r>
      </text>
    </comment>
    <comment ref="A4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УСН менее выгоден, но не во всех регионах есть такая система налогообложения как ЕНВД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в разных регионах ставка варьируется от 5-15%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
Для расчета чистой прибыли учитывала ЕНВД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по вопросу применения корректирующего коэффициента  для конкретного региона следует обращаться в представительные органы муниципального района, городского округа.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Необходимо ежегодно следить за его размером: ежегодно определяется Министерством экономического развития и торговли РФ и подлежит опубликованию не позднее 20 ноября в "Российской газете"
</t>
        </r>
      </text>
    </comment>
  </commentList>
</comments>
</file>

<file path=xl/comments2.xml><?xml version="1.0" encoding="utf-8"?>
<comments xmlns="http://schemas.openxmlformats.org/spreadsheetml/2006/main">
  <authors>
    <author>Евгения А. Губарькова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Стойка+стул+ ПК
</t>
        </r>
      </text>
    </comment>
    <comment ref="B28" authorId="0">
      <text>
        <r>
          <rPr>
            <b/>
            <sz val="9"/>
            <color indexed="81"/>
            <rFont val="Tahoma"/>
            <charset val="1"/>
          </rPr>
          <t>Евгения А. Губарькова:</t>
        </r>
        <r>
          <rPr>
            <sz val="9"/>
            <color indexed="81"/>
            <rFont val="Tahoma"/>
            <charset val="1"/>
          </rPr>
          <t xml:space="preserve">
Бонусная часть - 5%-от объема продаж
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9445 - МРОТ по Санкт-Петербургу,в др регионах он отличается от установленного в Санкт-Петерьурге
</t>
        </r>
      </text>
    </comment>
    <comment ref="B29" authorId="0">
      <text>
        <r>
          <rPr>
            <b/>
            <sz val="9"/>
            <color indexed="81"/>
            <rFont val="Tahoma"/>
            <charset val="1"/>
          </rPr>
          <t>Евгения А. Губарькова: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Прошу обратить внимание, что в разных регионах % страх. взносов различен.  В этой строке необходимо указывать % страх. взносов на одного человека.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НДФЛ рассчитан при условии, что 10 000 руб  - белая заработная плата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из разсчета 2000руб в неделю за 14 комплектов, за 35 = 5000 руб
</t>
        </r>
      </text>
    </comment>
    <comment ref="A4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УСН менее выгоден, но не во всех регионах есть такая система налогообложения как ЕНВД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в разных регионах ставка варьируется от 5-15%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
Для расчета чистой прибыли учитывала ЕНВД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по вопросу применения корректирующего коэффициента  для конкретного региона следует обращаться в представительные органы муниципального района, городского округа.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Необходимо ежегодно следить за его размером: ежегодно определяется Министерством экономического развития и торговли РФ и подлежит опубликованию не позднее 20 ноября в "Российской газете"
</t>
        </r>
      </text>
    </comment>
  </commentList>
</comments>
</file>

<file path=xl/comments3.xml><?xml version="1.0" encoding="utf-8"?>
<comments xmlns="http://schemas.openxmlformats.org/spreadsheetml/2006/main">
  <authors>
    <author>Евгения А. Губарькова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Стойка+стул+ ПК
</t>
        </r>
      </text>
    </comment>
    <comment ref="B28" authorId="0">
      <text>
        <r>
          <rPr>
            <b/>
            <sz val="9"/>
            <color indexed="81"/>
            <rFont val="Tahoma"/>
            <charset val="1"/>
          </rPr>
          <t>Евгения А. Губарькова:</t>
        </r>
        <r>
          <rPr>
            <sz val="9"/>
            <color indexed="81"/>
            <rFont val="Tahoma"/>
            <charset val="1"/>
          </rPr>
          <t xml:space="preserve">
Бонусная часть - 5%-от объема продаж
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9445 - МРОТ по Санкт-Петербургу,в др регионах он отличается от установленного в Санкт-Петерьурге
</t>
        </r>
      </text>
    </comment>
    <comment ref="B29" authorId="0">
      <text>
        <r>
          <rPr>
            <b/>
            <sz val="9"/>
            <color indexed="81"/>
            <rFont val="Tahoma"/>
            <charset val="1"/>
          </rPr>
          <t>Евгения А. Губарькова: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Прошу обратить внимание, что в разных регионах % страх. взносов различен.  В этой строке необходимо указывать % страх. взносов на одного человека.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из разсчета 2000руб в неделю за 14 комплектов, за 35 = 5000 руб
</t>
        </r>
      </text>
    </comment>
    <comment ref="A4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УСН менее выгоден, но не во всех регионах есть такая система налогообложения как ЕНВД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в разных регионах ставка варьируется от 5-15%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
Для расчета чистой прибыли учитывала ЕНВД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по вопросу применения корректирующего коэффициента  для конкретного региона следует обращаться в представительные органы муниципального района, городского округа.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Необходимо ежегодно следить за его размером: ежегодно определяется Министерством экономического развития и торговли РФ и подлежит опубликованию не позднее 20 ноября в "Российской газете"
</t>
        </r>
      </text>
    </comment>
  </commentList>
</comments>
</file>

<file path=xl/sharedStrings.xml><?xml version="1.0" encoding="utf-8"?>
<sst xmlns="http://schemas.openxmlformats.org/spreadsheetml/2006/main" count="281" uniqueCount="115">
  <si>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</si>
  <si>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</si>
  <si>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</si>
  <si>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</si>
  <si>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</si>
  <si>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</si>
  <si>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</si>
  <si>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 xml:space="preserve"> - </t>
  </si>
  <si>
    <t>0 месяц</t>
  </si>
  <si>
    <t>8 месяц</t>
  </si>
  <si>
    <t>9 месяц</t>
  </si>
  <si>
    <t>10 месяц</t>
  </si>
  <si>
    <t>11 месяц</t>
  </si>
  <si>
    <t>12 месяц</t>
  </si>
  <si>
    <t>Единовременные инвестиции (руб.):</t>
  </si>
  <si>
    <t xml:space="preserve">Кассовый аппарат </t>
  </si>
  <si>
    <t>Площадь, кв.м</t>
  </si>
  <si>
    <t>Торговое оборудование и выставоч.аксессуары</t>
  </si>
  <si>
    <t>Проходимость торг.точки, чел./мес.</t>
  </si>
  <si>
    <t>Кол-во покупателей, чел./мес.</t>
  </si>
  <si>
    <t>Выручка, руб./мес.</t>
  </si>
  <si>
    <t>Средний чек, руб.</t>
  </si>
  <si>
    <t>Затраты, руб./мес.</t>
  </si>
  <si>
    <t>Расходы на рекламу</t>
  </si>
  <si>
    <t>Стоимость аренды, руб.</t>
  </si>
  <si>
    <t>Рекламное продвижение</t>
  </si>
  <si>
    <t>Розничная наценка</t>
  </si>
  <si>
    <t>Маржинальный доход, руб./мес.</t>
  </si>
  <si>
    <t>Фонд з/пл, 2 продавца с налог.отчислениями</t>
  </si>
  <si>
    <t xml:space="preserve">Вмененный налог </t>
  </si>
  <si>
    <t>Окупаемость</t>
  </si>
  <si>
    <t>Прибыль нарастающим итогом, руб.</t>
  </si>
  <si>
    <t>Первонач. закупка бижутерии (в опт. ценах)*</t>
  </si>
  <si>
    <t>Прибыль, руб./мес.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</si>
  <si>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</si>
  <si>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</si>
  <si>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</si>
  <si>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</si>
  <si>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</si>
  <si>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</si>
  <si>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</si>
  <si>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</si>
  <si>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</si>
  <si>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</si>
  <si>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</si>
  <si>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</si>
  <si>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Товарный запас на конец месяца, руб. </t>
  </si>
  <si>
    <t>Продажа товара в опт.ценах, руб.</t>
  </si>
  <si>
    <t>Закупка товара</t>
  </si>
  <si>
    <t>Сезонный коэффициент</t>
  </si>
  <si>
    <t>Данные вносить только в желтые поля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</si>
  <si>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</si>
  <si>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</si>
  <si>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</si>
  <si>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</si>
  <si>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</si>
  <si>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</si>
  <si>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</si>
  <si>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</si>
  <si>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</si>
  <si>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</si>
  <si>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</si>
  <si>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</si>
  <si>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Паушальный взнос</t>
  </si>
  <si>
    <t>Роялти</t>
  </si>
  <si>
    <t>Рекламное продвижение в процессе работы</t>
  </si>
  <si>
    <t>Регистрация ИП</t>
  </si>
  <si>
    <t>Канцелярия</t>
  </si>
  <si>
    <t>Телефония, интернет</t>
  </si>
  <si>
    <t>Окупаемость:</t>
  </si>
  <si>
    <t>Транспортные расходы</t>
  </si>
  <si>
    <t>НДФЛ</t>
  </si>
  <si>
    <t>Фонд оплаты труда, в т.ч.</t>
  </si>
  <si>
    <t>Аренда помещения:площадь, кв.м.</t>
  </si>
  <si>
    <t>Аренда помещения:ставка, руб.</t>
  </si>
  <si>
    <t>Данные вносить только в зеленые поля, исключение: если сумма расходов ежемесячно меняется</t>
  </si>
  <si>
    <t>Оснащение рабочего места</t>
  </si>
  <si>
    <t>Затраты на закупку продукции (по мере необходимости)</t>
  </si>
  <si>
    <t>Средняя стоимость чехла</t>
  </si>
  <si>
    <t>Кол-во заказов в день</t>
  </si>
  <si>
    <t>Кол-во дней в месяце</t>
  </si>
  <si>
    <t>Кол-во сторудников, чел.</t>
  </si>
  <si>
    <t>Заработная плата сотрудника (оклад), руб.</t>
  </si>
  <si>
    <t>Заработная плата сотрудника (бонусная часть), руб.</t>
  </si>
  <si>
    <t>ЕНВД</t>
  </si>
  <si>
    <t>УСН (доходы минус расходы)</t>
  </si>
  <si>
    <t>Базовая доходность</t>
  </si>
  <si>
    <t>Коэффициент- дефлятор</t>
  </si>
  <si>
    <t>Корректирующий коэффициент</t>
  </si>
  <si>
    <t>Кол-во торговых мест</t>
  </si>
  <si>
    <t>Справочно:</t>
  </si>
  <si>
    <t>МРОТ Санкт-петербург</t>
  </si>
  <si>
    <t xml:space="preserve">Страховые взносы </t>
  </si>
  <si>
    <t>%</t>
  </si>
  <si>
    <t>Чистая прибыль за месяц</t>
  </si>
  <si>
    <t>Доп. услуги, в т.ч.:</t>
  </si>
  <si>
    <t>Накидки:</t>
  </si>
  <si>
    <t>Стоимость услуги</t>
  </si>
  <si>
    <t>Оплетка:</t>
  </si>
  <si>
    <t>Подушки:</t>
  </si>
  <si>
    <t>Установка чехлов:</t>
  </si>
  <si>
    <t>Стоимость для франчайзи</t>
  </si>
  <si>
    <t>Стоимость для клиента</t>
  </si>
  <si>
    <t>Маржа</t>
  </si>
  <si>
    <t>чехол</t>
  </si>
  <si>
    <t>отстрочка</t>
  </si>
  <si>
    <t>вышивка</t>
  </si>
  <si>
    <t>подушка</t>
  </si>
  <si>
    <t>оплетка аригон</t>
  </si>
  <si>
    <t>оплетка италия</t>
  </si>
  <si>
    <t>меховые накидки
(комплект)</t>
  </si>
  <si>
    <t>установка чехлов</t>
  </si>
  <si>
    <t>среднее</t>
  </si>
  <si>
    <t>Чехлы:</t>
  </si>
  <si>
    <t>Себестоимость закупки, %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</si>
</sst>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3" fontId="2" fillId="2" borderId="1" xfId="0" applyNumberFormat="1" applyFont="1" applyFill="1" applyBorder="1" applyAlignment="1">
      <alignment horizontal="center"/>
    </xf>
    <xf numFmtId="3" fontId="0" fillId="0" borderId="0" xfId="0" applyNumberFormat="1"/>
    <xf numFmtId="3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0" xfId="0" applyFont="1"/>
    <xf numFmtId="0" fontId="3" fillId="4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0" fontId="3" fillId="5" borderId="1" xfId="0" applyFont="1" applyFill="1" applyBorder="1" applyAlignment="1">
      <alignment wrapText="1"/>
    </xf>
    <xf numFmtId="164" fontId="3" fillId="5" borderId="1" xfId="0" applyNumberFormat="1" applyFont="1" applyFill="1" applyBorder="1" applyAlignment="1">
      <alignment horizontal="center" wrapText="1"/>
    </xf>
    <xf numFmtId="164" fontId="11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wrapText="1"/>
    </xf>
    <xf numFmtId="0" fontId="9" fillId="6" borderId="0" xfId="0" applyFont="1" applyFill="1"/>
    <xf numFmtId="0" fontId="0" fillId="6" borderId="0" xfId="0" applyFill="1"/>
    <xf numFmtId="164" fontId="11" fillId="6" borderId="4" xfId="0" applyNumberFormat="1" applyFon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7" fillId="4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2" fillId="5" borderId="1" xfId="0" applyFont="1" applyFill="1" applyBorder="1" applyAlignment="1">
      <alignment wrapText="1"/>
    </xf>
    <xf numFmtId="164" fontId="2" fillId="0" borderId="5" xfId="0" applyNumberFormat="1" applyFont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wrapText="1"/>
    </xf>
    <xf numFmtId="164" fontId="2" fillId="7" borderId="1" xfId="0" applyNumberFormat="1" applyFont="1" applyFill="1" applyBorder="1" applyAlignment="1">
      <alignment horizontal="center"/>
    </xf>
    <xf numFmtId="0" fontId="2" fillId="7" borderId="0" xfId="0" applyFont="1" applyFill="1" applyAlignment="1">
      <alignment wrapText="1"/>
    </xf>
    <xf numFmtId="9" fontId="12" fillId="7" borderId="1" xfId="0" applyNumberFormat="1" applyFont="1" applyFill="1" applyBorder="1" applyAlignment="1">
      <alignment horizontal="center" wrapText="1"/>
    </xf>
    <xf numFmtId="9" fontId="2" fillId="7" borderId="1" xfId="0" applyNumberFormat="1" applyFont="1" applyFill="1" applyBorder="1" applyAlignment="1">
      <alignment horizontal="center"/>
    </xf>
    <xf numFmtId="9" fontId="2" fillId="7" borderId="1" xfId="0" applyNumberFormat="1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164" fontId="11" fillId="6" borderId="0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65" fontId="2" fillId="7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wrapText="1"/>
    </xf>
    <xf numFmtId="0" fontId="2" fillId="6" borderId="2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7" borderId="2" xfId="0" applyFont="1" applyFill="1" applyBorder="1" applyAlignment="1">
      <alignment horizontal="center" wrapText="1"/>
    </xf>
    <xf numFmtId="164" fontId="2" fillId="7" borderId="2" xfId="0" applyNumberFormat="1" applyFont="1" applyFill="1" applyBorder="1" applyAlignment="1">
      <alignment horizontal="center" wrapText="1"/>
    </xf>
    <xf numFmtId="9" fontId="2" fillId="7" borderId="2" xfId="0" applyNumberFormat="1" applyFont="1" applyFill="1" applyBorder="1" applyAlignment="1">
      <alignment horizontal="center" wrapText="1"/>
    </xf>
    <xf numFmtId="164" fontId="18" fillId="6" borderId="1" xfId="0" applyNumberFormat="1" applyFont="1" applyFill="1" applyBorder="1" applyAlignment="1">
      <alignment horizontal="center"/>
    </xf>
    <xf numFmtId="164" fontId="18" fillId="7" borderId="1" xfId="0" applyNumberFormat="1" applyFont="1" applyFill="1" applyBorder="1" applyAlignment="1">
      <alignment horizontal="center"/>
    </xf>
    <xf numFmtId="164" fontId="18" fillId="6" borderId="2" xfId="0" applyNumberFormat="1" applyFont="1" applyFill="1" applyBorder="1" applyAlignment="1">
      <alignment horizontal="center"/>
    </xf>
    <xf numFmtId="164" fontId="18" fillId="6" borderId="5" xfId="0" applyNumberFormat="1" applyFont="1" applyFill="1" applyBorder="1" applyAlignment="1">
      <alignment horizontal="center"/>
    </xf>
    <xf numFmtId="0" fontId="0" fillId="0" borderId="1" xfId="0" applyFont="1" applyBorder="1"/>
    <xf numFmtId="164" fontId="2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0" fontId="2" fillId="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0" xfId="0" applyNumberFormat="1"/>
    <xf numFmtId="0" fontId="0" fillId="0" borderId="1" xfId="0" applyBorder="1" applyAlignment="1">
      <alignment horizontal="center" wrapText="1"/>
    </xf>
    <xf numFmtId="164" fontId="18" fillId="6" borderId="0" xfId="0" applyNumberFormat="1" applyFont="1" applyFill="1" applyBorder="1" applyAlignment="1">
      <alignment horizontal="center"/>
    </xf>
    <xf numFmtId="0" fontId="0" fillId="6" borderId="0" xfId="0" applyFont="1" applyFill="1"/>
    <xf numFmtId="9" fontId="2" fillId="6" borderId="1" xfId="0" applyNumberFormat="1" applyFont="1" applyFill="1" applyBorder="1" applyAlignment="1">
      <alignment horizontal="center" wrapText="1"/>
    </xf>
    <xf numFmtId="9" fontId="2" fillId="6" borderId="2" xfId="0" applyNumberFormat="1" applyFont="1" applyFill="1" applyBorder="1" applyAlignment="1">
      <alignment horizontal="center" wrapText="1"/>
    </xf>
    <xf numFmtId="10" fontId="2" fillId="6" borderId="2" xfId="0" applyNumberFormat="1" applyFont="1" applyFill="1" applyBorder="1" applyAlignment="1">
      <alignment horizontal="center" wrapText="1"/>
    </xf>
    <xf numFmtId="10" fontId="0" fillId="0" borderId="1" xfId="0" applyNumberFormat="1" applyBorder="1"/>
    <xf numFmtId="3" fontId="0" fillId="0" borderId="0" xfId="0" applyNumberFormat="1" applyFill="1" applyBorder="1"/>
    <xf numFmtId="164" fontId="2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6" xfId="0" applyNumberFormat="1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"/>
  <sheetViews>
    <sheetView tabSelected="1" zoomScale="85" zoomScaleNormal="85" workbookViewId="0">
      <pane xSplit="2" ySplit="1" topLeftCell="C26" activePane="bottomRight" state="frozen"/>
      <selection pane="topRight" activeCell="C1" sqref="C1"/>
      <selection pane="bottomLeft" activeCell="A2" sqref="A2"/>
      <selection pane="bottomRight" activeCell="B9" sqref="B9"/>
    </sheetView>
  </sheetViews>
  <sheetFormatPr defaultColWidth="0" defaultRowHeight="13.8" zeroHeight="1"/>
  <cols>
    <col min="1" max="1" width="49.6640625" style="5" bestFit="1" customWidth="1"/>
    <col min="2" max="2" width="14.109375" style="6" customWidth="1"/>
    <col min="3" max="3" width="15.33203125" style="7" customWidth="1"/>
    <col min="4" max="4" width="14.109375" style="7" customWidth="1"/>
    <col min="5" max="5" width="14" style="7" customWidth="1"/>
    <col min="6" max="6" width="13.6640625" style="7" customWidth="1"/>
    <col min="7" max="7" width="12.6640625" style="7" customWidth="1"/>
    <col min="8" max="8" width="13" style="7" customWidth="1"/>
    <col min="9" max="9" width="12.5546875" style="7" customWidth="1"/>
    <col min="10" max="10" width="13.88671875" customWidth="1"/>
    <col min="11" max="11" width="13.6640625" customWidth="1"/>
    <col min="12" max="13" width="14.44140625" customWidth="1"/>
    <col min="14" max="53" width="13.6640625" customWidth="1"/>
    <col min="54" max="54" width="20.44140625" customWidth="1"/>
  </cols>
  <sheetData>
    <row r="1" spans="1:54" s="31" customFormat="1" ht="41.4">
      <c r="A1" s="58" t="s">
        <v>75</v>
      </c>
      <c r="B1" s="30"/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0" t="s">
        <v>5</v>
      </c>
      <c r="I1" s="30" t="s">
        <v>6</v>
      </c>
      <c r="J1" s="30" t="s">
        <v>9</v>
      </c>
      <c r="K1" s="30" t="s">
        <v>10</v>
      </c>
      <c r="L1" s="30" t="s">
        <v>11</v>
      </c>
      <c r="M1" s="30" t="s">
        <v>12</v>
      </c>
      <c r="N1" s="37" t="s">
        <v>13</v>
      </c>
      <c r="O1" s="30" t="s">
        <v>51</v>
      </c>
      <c r="P1" s="30" t="s">
        <v>52</v>
      </c>
      <c r="Q1" s="30" t="s">
        <v>53</v>
      </c>
      <c r="R1" s="30" t="s">
        <v>54</v>
      </c>
      <c r="S1" s="30" t="s">
        <v>55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6"/>
    </row>
    <row r="2" spans="1:54">
      <c r="A2" s="39" t="s">
        <v>14</v>
      </c>
      <c r="B2" s="40">
        <f>SUM(B3:B5)</f>
        <v>176000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7"/>
    </row>
    <row r="3" spans="1:54">
      <c r="A3" s="1" t="s">
        <v>76</v>
      </c>
      <c r="B3" s="56">
        <f>1000+20000</f>
        <v>21000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7"/>
    </row>
    <row r="4" spans="1:54">
      <c r="A4" s="1" t="s">
        <v>63</v>
      </c>
      <c r="B4" s="56">
        <f>150000</f>
        <v>150000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7"/>
    </row>
    <row r="5" spans="1:54">
      <c r="A5" s="1" t="s">
        <v>66</v>
      </c>
      <c r="B5" s="56">
        <v>5000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7"/>
    </row>
    <row r="6" spans="1:54">
      <c r="A6" s="39" t="s">
        <v>20</v>
      </c>
      <c r="B6" s="40">
        <v>0</v>
      </c>
      <c r="C6" s="41">
        <f>C7+C11</f>
        <v>759500</v>
      </c>
      <c r="D6" s="41">
        <f t="shared" ref="D6:Z6" si="0">D7+D11</f>
        <v>686000</v>
      </c>
      <c r="E6" s="41">
        <f t="shared" si="0"/>
        <v>542500</v>
      </c>
      <c r="F6" s="41">
        <f t="shared" si="0"/>
        <v>525000</v>
      </c>
      <c r="G6" s="41">
        <f t="shared" si="0"/>
        <v>542500</v>
      </c>
      <c r="H6" s="41">
        <f t="shared" si="0"/>
        <v>525000</v>
      </c>
      <c r="I6" s="41">
        <f t="shared" si="0"/>
        <v>542500</v>
      </c>
      <c r="J6" s="41">
        <f t="shared" si="0"/>
        <v>542500</v>
      </c>
      <c r="K6" s="41">
        <f t="shared" si="0"/>
        <v>525000</v>
      </c>
      <c r="L6" s="41">
        <f t="shared" si="0"/>
        <v>542500</v>
      </c>
      <c r="M6" s="41">
        <f t="shared" si="0"/>
        <v>525000</v>
      </c>
      <c r="N6" s="41">
        <f t="shared" si="0"/>
        <v>542500</v>
      </c>
      <c r="O6" s="41">
        <f t="shared" si="0"/>
        <v>542500</v>
      </c>
      <c r="P6" s="41">
        <f t="shared" si="0"/>
        <v>490000</v>
      </c>
      <c r="Q6" s="41">
        <f t="shared" si="0"/>
        <v>542500</v>
      </c>
      <c r="R6" s="41">
        <f t="shared" si="0"/>
        <v>525000</v>
      </c>
      <c r="S6" s="41">
        <f t="shared" si="0"/>
        <v>542500</v>
      </c>
      <c r="T6" s="41">
        <f t="shared" si="0"/>
        <v>525000</v>
      </c>
      <c r="U6" s="41">
        <f t="shared" si="0"/>
        <v>542500</v>
      </c>
      <c r="V6" s="41">
        <f t="shared" si="0"/>
        <v>542500</v>
      </c>
      <c r="W6" s="41">
        <f t="shared" si="0"/>
        <v>525000</v>
      </c>
      <c r="X6" s="41">
        <f t="shared" si="0"/>
        <v>542500</v>
      </c>
      <c r="Y6" s="41">
        <f t="shared" si="0"/>
        <v>525000</v>
      </c>
      <c r="Z6" s="41">
        <f t="shared" si="0"/>
        <v>542500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1:54" s="91" customFormat="1">
      <c r="A7" s="64" t="s">
        <v>113</v>
      </c>
      <c r="B7" s="92"/>
      <c r="C7" s="75">
        <f>C8*C9*C10</f>
        <v>403000</v>
      </c>
      <c r="D7" s="75">
        <f t="shared" ref="D7:Z7" si="1">D8*D9*D10</f>
        <v>364000</v>
      </c>
      <c r="E7" s="75">
        <f t="shared" si="1"/>
        <v>403000</v>
      </c>
      <c r="F7" s="75">
        <f t="shared" si="1"/>
        <v>390000</v>
      </c>
      <c r="G7" s="75">
        <f t="shared" si="1"/>
        <v>403000</v>
      </c>
      <c r="H7" s="75">
        <f t="shared" si="1"/>
        <v>390000</v>
      </c>
      <c r="I7" s="75">
        <f t="shared" si="1"/>
        <v>403000</v>
      </c>
      <c r="J7" s="75">
        <f t="shared" si="1"/>
        <v>403000</v>
      </c>
      <c r="K7" s="75">
        <f t="shared" si="1"/>
        <v>390000</v>
      </c>
      <c r="L7" s="75">
        <f t="shared" si="1"/>
        <v>403000</v>
      </c>
      <c r="M7" s="75">
        <f t="shared" si="1"/>
        <v>390000</v>
      </c>
      <c r="N7" s="75">
        <f t="shared" si="1"/>
        <v>403000</v>
      </c>
      <c r="O7" s="75">
        <f t="shared" si="1"/>
        <v>403000</v>
      </c>
      <c r="P7" s="75">
        <f t="shared" si="1"/>
        <v>364000</v>
      </c>
      <c r="Q7" s="75">
        <f t="shared" si="1"/>
        <v>403000</v>
      </c>
      <c r="R7" s="75">
        <f t="shared" si="1"/>
        <v>390000</v>
      </c>
      <c r="S7" s="75">
        <f t="shared" si="1"/>
        <v>403000</v>
      </c>
      <c r="T7" s="75">
        <f t="shared" si="1"/>
        <v>390000</v>
      </c>
      <c r="U7" s="75">
        <f t="shared" si="1"/>
        <v>403000</v>
      </c>
      <c r="V7" s="75">
        <f t="shared" si="1"/>
        <v>403000</v>
      </c>
      <c r="W7" s="75">
        <f t="shared" si="1"/>
        <v>390000</v>
      </c>
      <c r="X7" s="75">
        <f t="shared" si="1"/>
        <v>403000</v>
      </c>
      <c r="Y7" s="75">
        <f t="shared" si="1"/>
        <v>390000</v>
      </c>
      <c r="Z7" s="75">
        <f t="shared" si="1"/>
        <v>403000</v>
      </c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</row>
    <row r="8" spans="1:54">
      <c r="A8" s="71" t="s">
        <v>78</v>
      </c>
      <c r="B8" s="56">
        <v>6500</v>
      </c>
      <c r="C8" s="75">
        <f>$B$8</f>
        <v>6500</v>
      </c>
      <c r="D8" s="75">
        <f t="shared" ref="D8:Z8" si="2">$B$8</f>
        <v>6500</v>
      </c>
      <c r="E8" s="75">
        <f t="shared" si="2"/>
        <v>6500</v>
      </c>
      <c r="F8" s="75">
        <f t="shared" si="2"/>
        <v>6500</v>
      </c>
      <c r="G8" s="75">
        <f t="shared" si="2"/>
        <v>6500</v>
      </c>
      <c r="H8" s="75">
        <f t="shared" si="2"/>
        <v>6500</v>
      </c>
      <c r="I8" s="75">
        <f t="shared" si="2"/>
        <v>6500</v>
      </c>
      <c r="J8" s="75">
        <f t="shared" si="2"/>
        <v>6500</v>
      </c>
      <c r="K8" s="75">
        <f t="shared" si="2"/>
        <v>6500</v>
      </c>
      <c r="L8" s="75">
        <f t="shared" si="2"/>
        <v>6500</v>
      </c>
      <c r="M8" s="75">
        <f t="shared" si="2"/>
        <v>6500</v>
      </c>
      <c r="N8" s="75">
        <f t="shared" si="2"/>
        <v>6500</v>
      </c>
      <c r="O8" s="75">
        <f t="shared" si="2"/>
        <v>6500</v>
      </c>
      <c r="P8" s="75">
        <f t="shared" si="2"/>
        <v>6500</v>
      </c>
      <c r="Q8" s="75">
        <f t="shared" si="2"/>
        <v>6500</v>
      </c>
      <c r="R8" s="75">
        <f t="shared" si="2"/>
        <v>6500</v>
      </c>
      <c r="S8" s="75">
        <f t="shared" si="2"/>
        <v>6500</v>
      </c>
      <c r="T8" s="75">
        <f t="shared" si="2"/>
        <v>6500</v>
      </c>
      <c r="U8" s="75">
        <f t="shared" si="2"/>
        <v>6500</v>
      </c>
      <c r="V8" s="75">
        <f t="shared" si="2"/>
        <v>6500</v>
      </c>
      <c r="W8" s="75">
        <f t="shared" si="2"/>
        <v>6500</v>
      </c>
      <c r="X8" s="75">
        <f t="shared" si="2"/>
        <v>6500</v>
      </c>
      <c r="Y8" s="75">
        <f t="shared" si="2"/>
        <v>6500</v>
      </c>
      <c r="Z8" s="75">
        <f t="shared" si="2"/>
        <v>6500</v>
      </c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pans="1:54">
      <c r="A9" s="71" t="s">
        <v>79</v>
      </c>
      <c r="B9" s="56">
        <v>2</v>
      </c>
      <c r="C9" s="75">
        <f>$B$9</f>
        <v>2</v>
      </c>
      <c r="D9" s="75">
        <f t="shared" ref="D9:Z9" si="3">$B$9</f>
        <v>2</v>
      </c>
      <c r="E9" s="75">
        <f t="shared" si="3"/>
        <v>2</v>
      </c>
      <c r="F9" s="75">
        <f t="shared" si="3"/>
        <v>2</v>
      </c>
      <c r="G9" s="75">
        <f t="shared" si="3"/>
        <v>2</v>
      </c>
      <c r="H9" s="75">
        <f t="shared" si="3"/>
        <v>2</v>
      </c>
      <c r="I9" s="75">
        <f t="shared" si="3"/>
        <v>2</v>
      </c>
      <c r="J9" s="75">
        <f t="shared" si="3"/>
        <v>2</v>
      </c>
      <c r="K9" s="75">
        <f t="shared" si="3"/>
        <v>2</v>
      </c>
      <c r="L9" s="75">
        <f t="shared" si="3"/>
        <v>2</v>
      </c>
      <c r="M9" s="75">
        <f t="shared" si="3"/>
        <v>2</v>
      </c>
      <c r="N9" s="75">
        <f t="shared" si="3"/>
        <v>2</v>
      </c>
      <c r="O9" s="75">
        <f t="shared" si="3"/>
        <v>2</v>
      </c>
      <c r="P9" s="75">
        <f t="shared" si="3"/>
        <v>2</v>
      </c>
      <c r="Q9" s="75">
        <f t="shared" si="3"/>
        <v>2</v>
      </c>
      <c r="R9" s="75">
        <f t="shared" si="3"/>
        <v>2</v>
      </c>
      <c r="S9" s="75">
        <f t="shared" si="3"/>
        <v>2</v>
      </c>
      <c r="T9" s="75">
        <f t="shared" si="3"/>
        <v>2</v>
      </c>
      <c r="U9" s="75">
        <f t="shared" si="3"/>
        <v>2</v>
      </c>
      <c r="V9" s="75">
        <f t="shared" si="3"/>
        <v>2</v>
      </c>
      <c r="W9" s="75">
        <f t="shared" si="3"/>
        <v>2</v>
      </c>
      <c r="X9" s="75">
        <f t="shared" si="3"/>
        <v>2</v>
      </c>
      <c r="Y9" s="75">
        <f t="shared" si="3"/>
        <v>2</v>
      </c>
      <c r="Z9" s="75">
        <f t="shared" si="3"/>
        <v>2</v>
      </c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>
      <c r="A10" s="71" t="s">
        <v>80</v>
      </c>
      <c r="B10" s="65"/>
      <c r="C10" s="76">
        <v>31</v>
      </c>
      <c r="D10" s="76">
        <v>28</v>
      </c>
      <c r="E10" s="76">
        <v>31</v>
      </c>
      <c r="F10" s="76">
        <v>30</v>
      </c>
      <c r="G10" s="76">
        <v>31</v>
      </c>
      <c r="H10" s="76">
        <v>30</v>
      </c>
      <c r="I10" s="76">
        <v>31</v>
      </c>
      <c r="J10" s="76">
        <v>31</v>
      </c>
      <c r="K10" s="76">
        <v>30</v>
      </c>
      <c r="L10" s="76">
        <v>31</v>
      </c>
      <c r="M10" s="76">
        <v>30</v>
      </c>
      <c r="N10" s="76">
        <v>31</v>
      </c>
      <c r="O10" s="76">
        <v>31</v>
      </c>
      <c r="P10" s="76">
        <v>28</v>
      </c>
      <c r="Q10" s="76">
        <v>31</v>
      </c>
      <c r="R10" s="76">
        <v>30</v>
      </c>
      <c r="S10" s="76">
        <v>31</v>
      </c>
      <c r="T10" s="76">
        <v>30</v>
      </c>
      <c r="U10" s="76">
        <v>31</v>
      </c>
      <c r="V10" s="76">
        <v>31</v>
      </c>
      <c r="W10" s="76">
        <v>30</v>
      </c>
      <c r="X10" s="76">
        <v>31</v>
      </c>
      <c r="Y10" s="76">
        <v>30</v>
      </c>
      <c r="Z10" s="76">
        <v>31</v>
      </c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pans="1:54">
      <c r="A11" s="69" t="s">
        <v>95</v>
      </c>
      <c r="B11" s="70"/>
      <c r="C11" s="77">
        <f>C12+C15+C18+C21</f>
        <v>356500</v>
      </c>
      <c r="D11" s="77">
        <f t="shared" ref="D11:Z11" si="4">D12+D15+D18+D21</f>
        <v>322000</v>
      </c>
      <c r="E11" s="77">
        <f t="shared" si="4"/>
        <v>139500</v>
      </c>
      <c r="F11" s="77">
        <f t="shared" si="4"/>
        <v>135000</v>
      </c>
      <c r="G11" s="77">
        <f t="shared" si="4"/>
        <v>139500</v>
      </c>
      <c r="H11" s="77">
        <f t="shared" si="4"/>
        <v>135000</v>
      </c>
      <c r="I11" s="77">
        <f t="shared" si="4"/>
        <v>139500</v>
      </c>
      <c r="J11" s="77">
        <f t="shared" si="4"/>
        <v>139500</v>
      </c>
      <c r="K11" s="77">
        <f t="shared" si="4"/>
        <v>135000</v>
      </c>
      <c r="L11" s="77">
        <f t="shared" si="4"/>
        <v>139500</v>
      </c>
      <c r="M11" s="77">
        <f t="shared" si="4"/>
        <v>135000</v>
      </c>
      <c r="N11" s="77">
        <f t="shared" si="4"/>
        <v>139500</v>
      </c>
      <c r="O11" s="77">
        <f t="shared" si="4"/>
        <v>139500</v>
      </c>
      <c r="P11" s="77">
        <f t="shared" si="4"/>
        <v>126000</v>
      </c>
      <c r="Q11" s="77">
        <f t="shared" si="4"/>
        <v>139500</v>
      </c>
      <c r="R11" s="77">
        <f t="shared" si="4"/>
        <v>135000</v>
      </c>
      <c r="S11" s="77">
        <f t="shared" si="4"/>
        <v>139500</v>
      </c>
      <c r="T11" s="77">
        <f t="shared" si="4"/>
        <v>135000</v>
      </c>
      <c r="U11" s="77">
        <f t="shared" si="4"/>
        <v>139500</v>
      </c>
      <c r="V11" s="77">
        <f t="shared" si="4"/>
        <v>139500</v>
      </c>
      <c r="W11" s="77">
        <f t="shared" si="4"/>
        <v>135000</v>
      </c>
      <c r="X11" s="77">
        <f t="shared" si="4"/>
        <v>139500</v>
      </c>
      <c r="Y11" s="77">
        <f t="shared" si="4"/>
        <v>135000</v>
      </c>
      <c r="Z11" s="77">
        <f t="shared" si="4"/>
        <v>139500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pans="1:54">
      <c r="A12" s="69" t="s">
        <v>96</v>
      </c>
      <c r="B12" s="93"/>
      <c r="C12" s="77">
        <f>B13*B14*C10</f>
        <v>217000</v>
      </c>
      <c r="D12" s="75">
        <f>B13*B14*D10</f>
        <v>196000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4">
      <c r="A13" s="71" t="s">
        <v>79</v>
      </c>
      <c r="B13" s="72">
        <v>2</v>
      </c>
      <c r="E13" s="78"/>
      <c r="F13" s="78"/>
      <c r="G13" s="78"/>
      <c r="H13" s="78"/>
      <c r="I13" s="78"/>
      <c r="J13" s="78"/>
      <c r="K13" s="78"/>
      <c r="L13" s="78"/>
      <c r="M13" s="78"/>
      <c r="N13" s="78">
        <f>B13*B14*N10</f>
        <v>217000</v>
      </c>
      <c r="O13" s="78">
        <f>B13*B14*O10</f>
        <v>217000</v>
      </c>
      <c r="P13" s="78">
        <f>B13*B14*P10</f>
        <v>196000</v>
      </c>
      <c r="Q13" s="78"/>
      <c r="R13" s="78"/>
      <c r="S13" s="78"/>
      <c r="T13" s="78"/>
      <c r="U13" s="78"/>
      <c r="V13" s="78"/>
      <c r="W13" s="78"/>
      <c r="X13" s="78"/>
      <c r="Y13" s="78"/>
      <c r="Z13" s="78">
        <f>B13*B14*Z10</f>
        <v>217000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1:54">
      <c r="A14" s="71" t="s">
        <v>97</v>
      </c>
      <c r="B14" s="72">
        <v>3500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9"/>
      <c r="O14" s="79"/>
      <c r="P14" s="79"/>
      <c r="Q14" s="75"/>
      <c r="R14" s="75"/>
      <c r="S14" s="75"/>
      <c r="T14" s="75"/>
      <c r="U14" s="75"/>
      <c r="V14" s="75"/>
      <c r="W14" s="75"/>
      <c r="X14" s="75"/>
      <c r="Y14" s="75"/>
      <c r="Z14" s="79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1:54">
      <c r="A15" s="69" t="s">
        <v>98</v>
      </c>
      <c r="B15" s="94"/>
      <c r="C15" s="75">
        <f>$B$16*$B$17*C10</f>
        <v>68200</v>
      </c>
      <c r="D15" s="75">
        <f t="shared" ref="D15:Z15" si="5">$B$16*$B$17*D10</f>
        <v>61600</v>
      </c>
      <c r="E15" s="75">
        <f t="shared" si="5"/>
        <v>68200</v>
      </c>
      <c r="F15" s="75">
        <f t="shared" si="5"/>
        <v>66000</v>
      </c>
      <c r="G15" s="75">
        <f t="shared" si="5"/>
        <v>68200</v>
      </c>
      <c r="H15" s="75">
        <f t="shared" si="5"/>
        <v>66000</v>
      </c>
      <c r="I15" s="75">
        <f t="shared" si="5"/>
        <v>68200</v>
      </c>
      <c r="J15" s="75">
        <f t="shared" si="5"/>
        <v>68200</v>
      </c>
      <c r="K15" s="75">
        <f t="shared" si="5"/>
        <v>66000</v>
      </c>
      <c r="L15" s="75">
        <f t="shared" si="5"/>
        <v>68200</v>
      </c>
      <c r="M15" s="75">
        <f t="shared" si="5"/>
        <v>66000</v>
      </c>
      <c r="N15" s="75">
        <f t="shared" si="5"/>
        <v>68200</v>
      </c>
      <c r="O15" s="75">
        <f t="shared" si="5"/>
        <v>68200</v>
      </c>
      <c r="P15" s="75">
        <f t="shared" si="5"/>
        <v>61600</v>
      </c>
      <c r="Q15" s="75">
        <f t="shared" si="5"/>
        <v>68200</v>
      </c>
      <c r="R15" s="75">
        <f t="shared" si="5"/>
        <v>66000</v>
      </c>
      <c r="S15" s="75">
        <f t="shared" si="5"/>
        <v>68200</v>
      </c>
      <c r="T15" s="75">
        <f t="shared" si="5"/>
        <v>66000</v>
      </c>
      <c r="U15" s="75">
        <f t="shared" si="5"/>
        <v>68200</v>
      </c>
      <c r="V15" s="75">
        <f t="shared" si="5"/>
        <v>68200</v>
      </c>
      <c r="W15" s="75">
        <f t="shared" si="5"/>
        <v>66000</v>
      </c>
      <c r="X15" s="75">
        <f t="shared" si="5"/>
        <v>68200</v>
      </c>
      <c r="Y15" s="75">
        <f t="shared" si="5"/>
        <v>66000</v>
      </c>
      <c r="Z15" s="75">
        <f t="shared" si="5"/>
        <v>68200</v>
      </c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spans="1:54">
      <c r="A16" s="71" t="s">
        <v>79</v>
      </c>
      <c r="B16" s="72">
        <v>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pans="1:54">
      <c r="A17" s="71" t="s">
        <v>97</v>
      </c>
      <c r="B17" s="72">
        <v>1100</v>
      </c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spans="1:54">
      <c r="A18" s="69" t="s">
        <v>99</v>
      </c>
      <c r="B18" s="93"/>
      <c r="C18" s="77">
        <f>$B$19*$B$20*C10</f>
        <v>21700</v>
      </c>
      <c r="D18" s="77">
        <f t="shared" ref="D18:Z18" si="6">$B$19*$B$20*D10</f>
        <v>19600</v>
      </c>
      <c r="E18" s="77">
        <f t="shared" si="6"/>
        <v>21700</v>
      </c>
      <c r="F18" s="77">
        <f t="shared" si="6"/>
        <v>21000</v>
      </c>
      <c r="G18" s="77">
        <f t="shared" si="6"/>
        <v>21700</v>
      </c>
      <c r="H18" s="77">
        <f t="shared" si="6"/>
        <v>21000</v>
      </c>
      <c r="I18" s="77">
        <f t="shared" si="6"/>
        <v>21700</v>
      </c>
      <c r="J18" s="77">
        <f t="shared" si="6"/>
        <v>21700</v>
      </c>
      <c r="K18" s="77">
        <f t="shared" si="6"/>
        <v>21000</v>
      </c>
      <c r="L18" s="77">
        <f t="shared" si="6"/>
        <v>21700</v>
      </c>
      <c r="M18" s="77">
        <f t="shared" si="6"/>
        <v>21000</v>
      </c>
      <c r="N18" s="77">
        <f t="shared" si="6"/>
        <v>21700</v>
      </c>
      <c r="O18" s="77">
        <f t="shared" si="6"/>
        <v>21700</v>
      </c>
      <c r="P18" s="77">
        <f t="shared" si="6"/>
        <v>19600</v>
      </c>
      <c r="Q18" s="77">
        <f t="shared" si="6"/>
        <v>21700</v>
      </c>
      <c r="R18" s="77">
        <f t="shared" si="6"/>
        <v>21000</v>
      </c>
      <c r="S18" s="77">
        <f t="shared" si="6"/>
        <v>21700</v>
      </c>
      <c r="T18" s="77">
        <f t="shared" si="6"/>
        <v>21000</v>
      </c>
      <c r="U18" s="77">
        <f t="shared" si="6"/>
        <v>21700</v>
      </c>
      <c r="V18" s="77">
        <f t="shared" si="6"/>
        <v>21700</v>
      </c>
      <c r="W18" s="77">
        <f t="shared" si="6"/>
        <v>21000</v>
      </c>
      <c r="X18" s="77">
        <f t="shared" si="6"/>
        <v>21700</v>
      </c>
      <c r="Y18" s="77">
        <f t="shared" si="6"/>
        <v>21000</v>
      </c>
      <c r="Z18" s="77">
        <f t="shared" si="6"/>
        <v>21700</v>
      </c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  <row r="19" spans="1:54">
      <c r="A19" s="71" t="s">
        <v>79</v>
      </c>
      <c r="B19" s="72">
        <v>2</v>
      </c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1:54">
      <c r="A20" s="71" t="s">
        <v>97</v>
      </c>
      <c r="B20" s="72">
        <v>350</v>
      </c>
      <c r="C20" s="77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</row>
    <row r="21" spans="1:54">
      <c r="A21" s="69" t="s">
        <v>100</v>
      </c>
      <c r="B21" s="74">
        <v>0.4</v>
      </c>
      <c r="C21" s="77">
        <f>$B$23*$B$22*C10*$B$21</f>
        <v>49600</v>
      </c>
      <c r="D21" s="77">
        <f t="shared" ref="D21:Z21" si="7">$B$23*$B$22*D10*$B$21</f>
        <v>44800</v>
      </c>
      <c r="E21" s="77">
        <f t="shared" si="7"/>
        <v>49600</v>
      </c>
      <c r="F21" s="77">
        <f t="shared" si="7"/>
        <v>48000</v>
      </c>
      <c r="G21" s="77">
        <f t="shared" si="7"/>
        <v>49600</v>
      </c>
      <c r="H21" s="77">
        <f t="shared" si="7"/>
        <v>48000</v>
      </c>
      <c r="I21" s="77">
        <f t="shared" si="7"/>
        <v>49600</v>
      </c>
      <c r="J21" s="77">
        <f t="shared" si="7"/>
        <v>49600</v>
      </c>
      <c r="K21" s="77">
        <f t="shared" si="7"/>
        <v>48000</v>
      </c>
      <c r="L21" s="77">
        <f t="shared" si="7"/>
        <v>49600</v>
      </c>
      <c r="M21" s="77">
        <f t="shared" si="7"/>
        <v>48000</v>
      </c>
      <c r="N21" s="77">
        <f t="shared" si="7"/>
        <v>49600</v>
      </c>
      <c r="O21" s="77">
        <f t="shared" si="7"/>
        <v>49600</v>
      </c>
      <c r="P21" s="77">
        <f t="shared" si="7"/>
        <v>44800</v>
      </c>
      <c r="Q21" s="77">
        <f t="shared" si="7"/>
        <v>49600</v>
      </c>
      <c r="R21" s="77">
        <f t="shared" si="7"/>
        <v>48000</v>
      </c>
      <c r="S21" s="77">
        <f t="shared" si="7"/>
        <v>49600</v>
      </c>
      <c r="T21" s="77">
        <f t="shared" si="7"/>
        <v>48000</v>
      </c>
      <c r="U21" s="77">
        <f t="shared" si="7"/>
        <v>49600</v>
      </c>
      <c r="V21" s="77">
        <f t="shared" si="7"/>
        <v>49600</v>
      </c>
      <c r="W21" s="77">
        <f t="shared" si="7"/>
        <v>48000</v>
      </c>
      <c r="X21" s="77">
        <f t="shared" si="7"/>
        <v>49600</v>
      </c>
      <c r="Y21" s="77">
        <f t="shared" si="7"/>
        <v>48000</v>
      </c>
      <c r="Z21" s="77">
        <f t="shared" si="7"/>
        <v>49600</v>
      </c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</row>
    <row r="22" spans="1:54">
      <c r="A22" s="71" t="s">
        <v>79</v>
      </c>
      <c r="B22" s="72">
        <v>2</v>
      </c>
      <c r="C22" s="7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</row>
    <row r="23" spans="1:54">
      <c r="A23" s="71" t="s">
        <v>97</v>
      </c>
      <c r="B23" s="73">
        <v>2000</v>
      </c>
      <c r="C23" s="80"/>
      <c r="D23" s="33"/>
      <c r="E23" s="33"/>
      <c r="F23" s="33"/>
      <c r="G23" s="33"/>
      <c r="H23" s="33"/>
      <c r="I23" s="33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7"/>
    </row>
    <row r="24" spans="1:54">
      <c r="A24" s="39" t="s">
        <v>22</v>
      </c>
      <c r="B24" s="40"/>
      <c r="C24" s="42">
        <f>C25+C31+C32+C34+C35+C36+C37+C38</f>
        <v>599740.45193798444</v>
      </c>
      <c r="D24" s="42">
        <f t="shared" ref="D24:Z24" si="8">D25+D31+D32+D34+D35+D36+D37+D38</f>
        <v>623179.05658914731</v>
      </c>
      <c r="E24" s="42">
        <f t="shared" si="8"/>
        <v>507140.4519379845</v>
      </c>
      <c r="F24" s="42">
        <f t="shared" si="8"/>
        <v>480486.6534883721</v>
      </c>
      <c r="G24" s="42">
        <f t="shared" si="8"/>
        <v>491040.4519379845</v>
      </c>
      <c r="H24" s="42">
        <f t="shared" si="8"/>
        <v>480486.6534883721</v>
      </c>
      <c r="I24" s="42">
        <f t="shared" si="8"/>
        <v>491040.4519379845</v>
      </c>
      <c r="J24" s="42">
        <f t="shared" si="8"/>
        <v>492790.4519379845</v>
      </c>
      <c r="K24" s="42">
        <f t="shared" si="8"/>
        <v>480486.6534883721</v>
      </c>
      <c r="L24" s="42">
        <f t="shared" si="8"/>
        <v>491040.4519379845</v>
      </c>
      <c r="M24" s="42">
        <f t="shared" si="8"/>
        <v>480486.6534883721</v>
      </c>
      <c r="N24" s="42">
        <f t="shared" si="8"/>
        <v>491040.4519379845</v>
      </c>
      <c r="O24" s="42">
        <f t="shared" si="8"/>
        <v>492790.4519379845</v>
      </c>
      <c r="P24" s="42">
        <f t="shared" si="8"/>
        <v>455879.05658914731</v>
      </c>
      <c r="Q24" s="42">
        <f t="shared" si="8"/>
        <v>487540.4519379845</v>
      </c>
      <c r="R24" s="42">
        <f t="shared" si="8"/>
        <v>480486.6534883721</v>
      </c>
      <c r="S24" s="42">
        <f t="shared" si="8"/>
        <v>491040.4519379845</v>
      </c>
      <c r="T24" s="42">
        <f t="shared" si="8"/>
        <v>480486.6534883721</v>
      </c>
      <c r="U24" s="42">
        <f t="shared" si="8"/>
        <v>491040.4519379845</v>
      </c>
      <c r="V24" s="42">
        <f t="shared" si="8"/>
        <v>492790.4519379845</v>
      </c>
      <c r="W24" s="42">
        <f t="shared" si="8"/>
        <v>480486.6534883721</v>
      </c>
      <c r="X24" s="42">
        <f t="shared" si="8"/>
        <v>491040.4519379845</v>
      </c>
      <c r="Y24" s="42">
        <f t="shared" si="8"/>
        <v>480486.6534883721</v>
      </c>
      <c r="Z24" s="42">
        <f t="shared" si="8"/>
        <v>491040.4519379845</v>
      </c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47"/>
    </row>
    <row r="25" spans="1:54">
      <c r="A25" s="1" t="s">
        <v>72</v>
      </c>
      <c r="B25" s="43"/>
      <c r="C25" s="33">
        <f t="shared" ref="C25:Z25" si="9">(C27+C28+C29+C30)*C26</f>
        <v>28122.7</v>
      </c>
      <c r="D25" s="33">
        <f t="shared" si="9"/>
        <v>104072.7</v>
      </c>
      <c r="E25" s="33">
        <f t="shared" si="9"/>
        <v>96722.7</v>
      </c>
      <c r="F25" s="33">
        <f t="shared" si="9"/>
        <v>82372.7</v>
      </c>
      <c r="G25" s="33">
        <f t="shared" si="9"/>
        <v>80622.7</v>
      </c>
      <c r="H25" s="33">
        <f t="shared" si="9"/>
        <v>82372.7</v>
      </c>
      <c r="I25" s="33">
        <f t="shared" si="9"/>
        <v>80622.7</v>
      </c>
      <c r="J25" s="33">
        <f t="shared" si="9"/>
        <v>82372.7</v>
      </c>
      <c r="K25" s="33">
        <f t="shared" si="9"/>
        <v>82372.7</v>
      </c>
      <c r="L25" s="33">
        <f t="shared" si="9"/>
        <v>80622.7</v>
      </c>
      <c r="M25" s="33">
        <f t="shared" si="9"/>
        <v>82372.7</v>
      </c>
      <c r="N25" s="33">
        <f t="shared" si="9"/>
        <v>80622.7</v>
      </c>
      <c r="O25" s="33">
        <f t="shared" si="9"/>
        <v>82372.7</v>
      </c>
      <c r="P25" s="33">
        <f t="shared" si="9"/>
        <v>82372.7</v>
      </c>
      <c r="Q25" s="33">
        <f t="shared" si="9"/>
        <v>77122.7</v>
      </c>
      <c r="R25" s="33">
        <f t="shared" si="9"/>
        <v>82372.7</v>
      </c>
      <c r="S25" s="33">
        <f t="shared" si="9"/>
        <v>80622.7</v>
      </c>
      <c r="T25" s="33">
        <f t="shared" si="9"/>
        <v>82372.7</v>
      </c>
      <c r="U25" s="33">
        <f t="shared" si="9"/>
        <v>80622.7</v>
      </c>
      <c r="V25" s="33">
        <f t="shared" si="9"/>
        <v>82372.7</v>
      </c>
      <c r="W25" s="33">
        <f t="shared" si="9"/>
        <v>82372.7</v>
      </c>
      <c r="X25" s="33">
        <f t="shared" si="9"/>
        <v>80622.7</v>
      </c>
      <c r="Y25" s="33">
        <f t="shared" si="9"/>
        <v>82372.7</v>
      </c>
      <c r="Z25" s="33">
        <f t="shared" si="9"/>
        <v>80622.7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7"/>
    </row>
    <row r="26" spans="1:54">
      <c r="A26" s="1" t="s">
        <v>81</v>
      </c>
      <c r="B26" s="57">
        <v>2</v>
      </c>
      <c r="C26" s="33">
        <f>$B$26</f>
        <v>2</v>
      </c>
      <c r="D26" s="33">
        <f t="shared" ref="D26:Z26" si="10">$B$26</f>
        <v>2</v>
      </c>
      <c r="E26" s="33">
        <f t="shared" si="10"/>
        <v>2</v>
      </c>
      <c r="F26" s="33">
        <f t="shared" si="10"/>
        <v>2</v>
      </c>
      <c r="G26" s="33">
        <f t="shared" si="10"/>
        <v>2</v>
      </c>
      <c r="H26" s="33">
        <f t="shared" si="10"/>
        <v>2</v>
      </c>
      <c r="I26" s="33">
        <f t="shared" si="10"/>
        <v>2</v>
      </c>
      <c r="J26" s="33">
        <f t="shared" si="10"/>
        <v>2</v>
      </c>
      <c r="K26" s="33">
        <f t="shared" si="10"/>
        <v>2</v>
      </c>
      <c r="L26" s="33">
        <f t="shared" si="10"/>
        <v>2</v>
      </c>
      <c r="M26" s="33">
        <f t="shared" si="10"/>
        <v>2</v>
      </c>
      <c r="N26" s="33">
        <f t="shared" si="10"/>
        <v>2</v>
      </c>
      <c r="O26" s="33">
        <f t="shared" si="10"/>
        <v>2</v>
      </c>
      <c r="P26" s="33">
        <f t="shared" si="10"/>
        <v>2</v>
      </c>
      <c r="Q26" s="33">
        <f t="shared" si="10"/>
        <v>2</v>
      </c>
      <c r="R26" s="33">
        <f t="shared" si="10"/>
        <v>2</v>
      </c>
      <c r="S26" s="33">
        <f t="shared" si="10"/>
        <v>2</v>
      </c>
      <c r="T26" s="33">
        <f t="shared" si="10"/>
        <v>2</v>
      </c>
      <c r="U26" s="33">
        <f t="shared" si="10"/>
        <v>2</v>
      </c>
      <c r="V26" s="33">
        <f t="shared" si="10"/>
        <v>2</v>
      </c>
      <c r="W26" s="33">
        <f t="shared" si="10"/>
        <v>2</v>
      </c>
      <c r="X26" s="33">
        <f t="shared" si="10"/>
        <v>2</v>
      </c>
      <c r="Y26" s="33">
        <f t="shared" si="10"/>
        <v>2</v>
      </c>
      <c r="Z26" s="33">
        <f t="shared" si="10"/>
        <v>2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7"/>
    </row>
    <row r="27" spans="1:54">
      <c r="A27" s="1" t="s">
        <v>82</v>
      </c>
      <c r="B27" s="57">
        <v>10000</v>
      </c>
      <c r="C27" s="33">
        <f t="shared" ref="C27:Z27" si="11">$B$27</f>
        <v>10000</v>
      </c>
      <c r="D27" s="33">
        <f t="shared" si="11"/>
        <v>10000</v>
      </c>
      <c r="E27" s="33">
        <f t="shared" si="11"/>
        <v>10000</v>
      </c>
      <c r="F27" s="33">
        <f t="shared" si="11"/>
        <v>10000</v>
      </c>
      <c r="G27" s="33">
        <f t="shared" si="11"/>
        <v>10000</v>
      </c>
      <c r="H27" s="33">
        <f t="shared" si="11"/>
        <v>10000</v>
      </c>
      <c r="I27" s="33">
        <f t="shared" si="11"/>
        <v>10000</v>
      </c>
      <c r="J27" s="33">
        <f t="shared" si="11"/>
        <v>10000</v>
      </c>
      <c r="K27" s="33">
        <f t="shared" si="11"/>
        <v>10000</v>
      </c>
      <c r="L27" s="33">
        <f t="shared" si="11"/>
        <v>10000</v>
      </c>
      <c r="M27" s="33">
        <f t="shared" si="11"/>
        <v>10000</v>
      </c>
      <c r="N27" s="33">
        <f t="shared" si="11"/>
        <v>10000</v>
      </c>
      <c r="O27" s="33">
        <f t="shared" si="11"/>
        <v>10000</v>
      </c>
      <c r="P27" s="33">
        <f t="shared" si="11"/>
        <v>10000</v>
      </c>
      <c r="Q27" s="33">
        <f t="shared" si="11"/>
        <v>10000</v>
      </c>
      <c r="R27" s="33">
        <f t="shared" si="11"/>
        <v>10000</v>
      </c>
      <c r="S27" s="33">
        <f t="shared" si="11"/>
        <v>10000</v>
      </c>
      <c r="T27" s="33">
        <f t="shared" si="11"/>
        <v>10000</v>
      </c>
      <c r="U27" s="33">
        <f t="shared" si="11"/>
        <v>10000</v>
      </c>
      <c r="V27" s="33">
        <f t="shared" si="11"/>
        <v>10000</v>
      </c>
      <c r="W27" s="33">
        <f t="shared" si="11"/>
        <v>10000</v>
      </c>
      <c r="X27" s="33">
        <f t="shared" si="11"/>
        <v>10000</v>
      </c>
      <c r="Y27" s="33">
        <f t="shared" si="11"/>
        <v>10000</v>
      </c>
      <c r="Z27" s="33">
        <f t="shared" si="11"/>
        <v>10000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7"/>
    </row>
    <row r="28" spans="1:54" ht="27.6">
      <c r="A28" s="1" t="s">
        <v>83</v>
      </c>
      <c r="B28" s="60">
        <v>0.05</v>
      </c>
      <c r="C28" s="43">
        <v>0</v>
      </c>
      <c r="D28" s="43">
        <f>C6*$B$28</f>
        <v>37975</v>
      </c>
      <c r="E28" s="43">
        <f t="shared" ref="E28:Z28" si="12">D6*$B$28</f>
        <v>34300</v>
      </c>
      <c r="F28" s="43">
        <f t="shared" si="12"/>
        <v>27125</v>
      </c>
      <c r="G28" s="43">
        <f t="shared" si="12"/>
        <v>26250</v>
      </c>
      <c r="H28" s="43">
        <f t="shared" si="12"/>
        <v>27125</v>
      </c>
      <c r="I28" s="43">
        <f t="shared" si="12"/>
        <v>26250</v>
      </c>
      <c r="J28" s="43">
        <f t="shared" si="12"/>
        <v>27125</v>
      </c>
      <c r="K28" s="43">
        <f t="shared" si="12"/>
        <v>27125</v>
      </c>
      <c r="L28" s="43">
        <f t="shared" si="12"/>
        <v>26250</v>
      </c>
      <c r="M28" s="43">
        <f t="shared" si="12"/>
        <v>27125</v>
      </c>
      <c r="N28" s="43">
        <f t="shared" si="12"/>
        <v>26250</v>
      </c>
      <c r="O28" s="43">
        <f t="shared" si="12"/>
        <v>27125</v>
      </c>
      <c r="P28" s="43">
        <f t="shared" si="12"/>
        <v>27125</v>
      </c>
      <c r="Q28" s="43">
        <f t="shared" si="12"/>
        <v>24500</v>
      </c>
      <c r="R28" s="43">
        <f t="shared" si="12"/>
        <v>27125</v>
      </c>
      <c r="S28" s="43">
        <f t="shared" si="12"/>
        <v>26250</v>
      </c>
      <c r="T28" s="43">
        <f t="shared" si="12"/>
        <v>27125</v>
      </c>
      <c r="U28" s="43">
        <f t="shared" si="12"/>
        <v>26250</v>
      </c>
      <c r="V28" s="43">
        <f t="shared" si="12"/>
        <v>27125</v>
      </c>
      <c r="W28" s="43">
        <f t="shared" si="12"/>
        <v>27125</v>
      </c>
      <c r="X28" s="43">
        <f t="shared" si="12"/>
        <v>26250</v>
      </c>
      <c r="Y28" s="43">
        <f t="shared" si="12"/>
        <v>27125</v>
      </c>
      <c r="Z28" s="43">
        <f t="shared" si="12"/>
        <v>26250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7"/>
    </row>
    <row r="29" spans="1:54">
      <c r="A29" s="1" t="s">
        <v>92</v>
      </c>
      <c r="B29" s="60">
        <v>0.3</v>
      </c>
      <c r="C29" s="33">
        <f t="shared" ref="C29:Z29" si="13">$B$46*$B$29</f>
        <v>2833.5</v>
      </c>
      <c r="D29" s="33">
        <f t="shared" si="13"/>
        <v>2833.5</v>
      </c>
      <c r="E29" s="33">
        <f t="shared" si="13"/>
        <v>2833.5</v>
      </c>
      <c r="F29" s="33">
        <f t="shared" si="13"/>
        <v>2833.5</v>
      </c>
      <c r="G29" s="33">
        <f t="shared" si="13"/>
        <v>2833.5</v>
      </c>
      <c r="H29" s="33">
        <f t="shared" si="13"/>
        <v>2833.5</v>
      </c>
      <c r="I29" s="33">
        <f t="shared" si="13"/>
        <v>2833.5</v>
      </c>
      <c r="J29" s="33">
        <f t="shared" si="13"/>
        <v>2833.5</v>
      </c>
      <c r="K29" s="33">
        <f t="shared" si="13"/>
        <v>2833.5</v>
      </c>
      <c r="L29" s="33">
        <f t="shared" si="13"/>
        <v>2833.5</v>
      </c>
      <c r="M29" s="33">
        <f t="shared" si="13"/>
        <v>2833.5</v>
      </c>
      <c r="N29" s="33">
        <f t="shared" si="13"/>
        <v>2833.5</v>
      </c>
      <c r="O29" s="33">
        <f t="shared" si="13"/>
        <v>2833.5</v>
      </c>
      <c r="P29" s="33">
        <f t="shared" si="13"/>
        <v>2833.5</v>
      </c>
      <c r="Q29" s="33">
        <f t="shared" si="13"/>
        <v>2833.5</v>
      </c>
      <c r="R29" s="33">
        <f t="shared" si="13"/>
        <v>2833.5</v>
      </c>
      <c r="S29" s="33">
        <f t="shared" si="13"/>
        <v>2833.5</v>
      </c>
      <c r="T29" s="33">
        <f t="shared" si="13"/>
        <v>2833.5</v>
      </c>
      <c r="U29" s="33">
        <f t="shared" si="13"/>
        <v>2833.5</v>
      </c>
      <c r="V29" s="33">
        <f t="shared" si="13"/>
        <v>2833.5</v>
      </c>
      <c r="W29" s="33">
        <f t="shared" si="13"/>
        <v>2833.5</v>
      </c>
      <c r="X29" s="33">
        <f t="shared" si="13"/>
        <v>2833.5</v>
      </c>
      <c r="Y29" s="33">
        <f t="shared" si="13"/>
        <v>2833.5</v>
      </c>
      <c r="Z29" s="33">
        <f t="shared" si="13"/>
        <v>2833.5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7"/>
    </row>
    <row r="30" spans="1:54">
      <c r="A30" s="1" t="s">
        <v>71</v>
      </c>
      <c r="B30" s="60">
        <v>0.13</v>
      </c>
      <c r="C30" s="33">
        <f t="shared" ref="C30:Z30" si="14">$B$46*$B$30</f>
        <v>1227.8500000000001</v>
      </c>
      <c r="D30" s="33">
        <f t="shared" si="14"/>
        <v>1227.8500000000001</v>
      </c>
      <c r="E30" s="33">
        <f t="shared" si="14"/>
        <v>1227.8500000000001</v>
      </c>
      <c r="F30" s="33">
        <f t="shared" si="14"/>
        <v>1227.8500000000001</v>
      </c>
      <c r="G30" s="33">
        <f t="shared" si="14"/>
        <v>1227.8500000000001</v>
      </c>
      <c r="H30" s="33">
        <f t="shared" si="14"/>
        <v>1227.8500000000001</v>
      </c>
      <c r="I30" s="33">
        <f t="shared" si="14"/>
        <v>1227.8500000000001</v>
      </c>
      <c r="J30" s="33">
        <f t="shared" si="14"/>
        <v>1227.8500000000001</v>
      </c>
      <c r="K30" s="33">
        <f t="shared" si="14"/>
        <v>1227.8500000000001</v>
      </c>
      <c r="L30" s="33">
        <f t="shared" si="14"/>
        <v>1227.8500000000001</v>
      </c>
      <c r="M30" s="33">
        <f t="shared" si="14"/>
        <v>1227.8500000000001</v>
      </c>
      <c r="N30" s="33">
        <f t="shared" si="14"/>
        <v>1227.8500000000001</v>
      </c>
      <c r="O30" s="33">
        <f t="shared" si="14"/>
        <v>1227.8500000000001</v>
      </c>
      <c r="P30" s="33">
        <f t="shared" si="14"/>
        <v>1227.8500000000001</v>
      </c>
      <c r="Q30" s="33">
        <f t="shared" si="14"/>
        <v>1227.8500000000001</v>
      </c>
      <c r="R30" s="33">
        <f t="shared" si="14"/>
        <v>1227.8500000000001</v>
      </c>
      <c r="S30" s="33">
        <f t="shared" si="14"/>
        <v>1227.8500000000001</v>
      </c>
      <c r="T30" s="33">
        <f t="shared" si="14"/>
        <v>1227.8500000000001</v>
      </c>
      <c r="U30" s="33">
        <f t="shared" si="14"/>
        <v>1227.8500000000001</v>
      </c>
      <c r="V30" s="33">
        <f t="shared" si="14"/>
        <v>1227.8500000000001</v>
      </c>
      <c r="W30" s="33">
        <f t="shared" si="14"/>
        <v>1227.8500000000001</v>
      </c>
      <c r="X30" s="33">
        <f t="shared" si="14"/>
        <v>1227.8500000000001</v>
      </c>
      <c r="Y30" s="33">
        <f t="shared" si="14"/>
        <v>1227.8500000000001</v>
      </c>
      <c r="Z30" s="33">
        <f t="shared" si="14"/>
        <v>1227.8500000000001</v>
      </c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7"/>
    </row>
    <row r="31" spans="1:54" ht="27.6">
      <c r="A31" s="1" t="s">
        <v>77</v>
      </c>
      <c r="B31" s="83"/>
      <c r="C31" s="55">
        <f>(C7*'Расчет наценки'!$F2)+(C12*'Расчет наценки'!$F8)+(C15*'Расчет наценки'!$F7)+(пессимистичный!C18*'Расчет наценки'!$F5)+(пессимистичный!C21*'Расчет наценки'!$F9)</f>
        <v>542617.75193798449</v>
      </c>
      <c r="D31" s="82">
        <f>(D7*'Расчет наценки'!$F2)+(D12*'Расчет наценки'!$F8)+(D15*'Расчет наценки'!$F7)+(пессимистичный!D18*'Расчет наценки'!$F5)+(пессимистичный!D21*'Расчет наценки'!$F9)</f>
        <v>490106.3565891473</v>
      </c>
      <c r="E31" s="82">
        <f>(E7*'Расчет наценки'!$F2)+(E12*'Расчет наценки'!$F8)+(E15*'Расчет наценки'!$F7)+(пессимистичный!E18*'Расчет наценки'!$F5)+(пессимистичный!E21*'Расчет наценки'!$F9)</f>
        <v>381417.75193798449</v>
      </c>
      <c r="F31" s="82">
        <f>(F7*'Расчет наценки'!$F2)+(F12*'Расчет наценки'!$F8)+(F15*'Расчет наценки'!$F7)+(пессимистичный!F18*'Расчет наценки'!$F5)+(пессимистичный!F21*'Расчет наценки'!$F9)</f>
        <v>369113.95348837209</v>
      </c>
      <c r="G31" s="82">
        <f>(G7*'Расчет наценки'!$F2)+(G12*'Расчет наценки'!$F8)+(G15*'Расчет наценки'!$F7)+(пессимистичный!G18*'Расчет наценки'!$F5)+(пессимистичный!G21*'Расчет наценки'!$F9)</f>
        <v>381417.75193798449</v>
      </c>
      <c r="H31" s="82">
        <f>(H7*'Расчет наценки'!$F2)+(H12*'Расчет наценки'!$F8)+(H15*'Расчет наценки'!$F7)+(пессимистичный!H18*'Расчет наценки'!$F5)+(пессимистичный!H21*'Расчет наценки'!$F9)</f>
        <v>369113.95348837209</v>
      </c>
      <c r="I31" s="82">
        <f>(I7*'Расчет наценки'!$F2)+(I12*'Расчет наценки'!$F8)+(I15*'Расчет наценки'!$F7)+(пессимистичный!I18*'Расчет наценки'!$F5)+(пессимистичный!I21*'Расчет наценки'!$F9)</f>
        <v>381417.75193798449</v>
      </c>
      <c r="J31" s="82">
        <f>(J7*'Расчет наценки'!$F2)+(J12*'Расчет наценки'!$F8)+(J15*'Расчет наценки'!$F7)+(пессимистичный!J18*'Расчет наценки'!$F5)+(пессимистичный!J21*'Расчет наценки'!$F9)</f>
        <v>381417.75193798449</v>
      </c>
      <c r="K31" s="82">
        <f>(K7*'Расчет наценки'!$F2)+(K12*'Расчет наценки'!$F8)+(K15*'Расчет наценки'!$F7)+(пессимистичный!K18*'Расчет наценки'!$F5)+(пессимистичный!K21*'Расчет наценки'!$F9)</f>
        <v>369113.95348837209</v>
      </c>
      <c r="L31" s="82">
        <f>(L7*'Расчет наценки'!$F2)+(L12*'Расчет наценки'!$F8)+(L15*'Расчет наценки'!$F7)+(пессимистичный!L18*'Расчет наценки'!$F5)+(пессимистичный!L21*'Расчет наценки'!$F9)</f>
        <v>381417.75193798449</v>
      </c>
      <c r="M31" s="82">
        <f>(M7*'Расчет наценки'!$F2)+(M12*'Расчет наценки'!$F8)+(M15*'Расчет наценки'!$F7)+(пессимистичный!M18*'Расчет наценки'!$F5)+(пессимистичный!M21*'Расчет наценки'!$F9)</f>
        <v>369113.95348837209</v>
      </c>
      <c r="N31" s="82">
        <f>(N7*'Расчет наценки'!$F2)+(N12*'Расчет наценки'!$F8)+(N15*'Расчет наценки'!$F7)+(пессимистичный!N18*'Расчет наценки'!$F5)+(пессимистичный!N21*'Расчет наценки'!$F9)</f>
        <v>381417.75193798449</v>
      </c>
      <c r="O31" s="82">
        <f>(O7*'Расчет наценки'!$F2)+(O12*'Расчет наценки'!$F8)+(O15*'Расчет наценки'!$F7)+(пессимистичный!O18*'Расчет наценки'!$F5)+(пессимистичный!O21*'Расчет наценки'!$F9)</f>
        <v>381417.75193798449</v>
      </c>
      <c r="P31" s="82">
        <f>(P7*'Расчет наценки'!$F2)+(P12*'Расчет наценки'!$F8)+(P15*'Расчет наценки'!$F7)+(пессимистичный!P18*'Расчет наценки'!$F5)+(пессимистичный!P21*'Расчет наценки'!$F9)</f>
        <v>344506.3565891473</v>
      </c>
      <c r="Q31" s="82">
        <f>(Q7*'Расчет наценки'!$F2)+(Q12*'Расчет наценки'!$F8)+(Q15*'Расчет наценки'!$F7)+(пессимистичный!Q18*'Расчет наценки'!$F5)+(пессимистичный!Q21*'Расчет наценки'!$F9)</f>
        <v>381417.75193798449</v>
      </c>
      <c r="R31" s="82">
        <f>(R7*'Расчет наценки'!$F2)+(R12*'Расчет наценки'!$F8)+(R15*'Расчет наценки'!$F7)+(пессимистичный!R18*'Расчет наценки'!$F5)+(пессимистичный!R21*'Расчет наценки'!$F9)</f>
        <v>369113.95348837209</v>
      </c>
      <c r="S31" s="82">
        <f>(S7*'Расчет наценки'!$F2)+(S12*'Расчет наценки'!$F8)+(S15*'Расчет наценки'!$F7)+(пессимистичный!S18*'Расчет наценки'!$F5)+(пессимистичный!S21*'Расчет наценки'!$F9)</f>
        <v>381417.75193798449</v>
      </c>
      <c r="T31" s="82">
        <f>(T7*'Расчет наценки'!$F2)+(T12*'Расчет наценки'!$F8)+(T15*'Расчет наценки'!$F7)+(пессимистичный!T18*'Расчет наценки'!$F5)+(пессимистичный!T21*'Расчет наценки'!$F9)</f>
        <v>369113.95348837209</v>
      </c>
      <c r="U31" s="82">
        <f>(U7*'Расчет наценки'!$F2)+(U12*'Расчет наценки'!$F8)+(U15*'Расчет наценки'!$F7)+(пессимистичный!U18*'Расчет наценки'!$F5)+(пессимистичный!U21*'Расчет наценки'!$F9)</f>
        <v>381417.75193798449</v>
      </c>
      <c r="V31" s="82">
        <f>(V7*'Расчет наценки'!$F2)+(V12*'Расчет наценки'!$F8)+(V15*'Расчет наценки'!$F7)+(пессимистичный!V18*'Расчет наценки'!$F5)+(пессимистичный!V21*'Расчет наценки'!$F9)</f>
        <v>381417.75193798449</v>
      </c>
      <c r="W31" s="82">
        <f>(W7*'Расчет наценки'!$F2)+(W12*'Расчет наценки'!$F8)+(W15*'Расчет наценки'!$F7)+(пессимистичный!W18*'Расчет наценки'!$F5)+(пессимистичный!W21*'Расчет наценки'!$F9)</f>
        <v>369113.95348837209</v>
      </c>
      <c r="X31" s="82">
        <f>(X7*'Расчет наценки'!$F2)+(X12*'Расчет наценки'!$F8)+(X15*'Расчет наценки'!$F7)+(пессимистичный!X18*'Расчет наценки'!$F5)+(пессимистичный!X21*'Расчет наценки'!$F9)</f>
        <v>381417.75193798449</v>
      </c>
      <c r="Y31" s="82">
        <f>(Y7*'Расчет наценки'!$F2)+(Y12*'Расчет наценки'!$F8)+(Y15*'Расчет наценки'!$F7)+(пессимистичный!Y18*'Расчет наценки'!$F5)+(пессимистичный!Y21*'Расчет наценки'!$F9)</f>
        <v>369113.95348837209</v>
      </c>
      <c r="Z31" s="82">
        <f>(Z7*'Расчет наценки'!$F2)+(Z12*'Расчет наценки'!$F8)+(Z15*'Расчет наценки'!$F7)+(пессимистичный!Z18*'Расчет наценки'!$F5)+(пессимистичный!Z21*'Расчет наценки'!$F9)</f>
        <v>381417.75193798449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7"/>
    </row>
    <row r="32" spans="1:54">
      <c r="A32" s="1" t="s">
        <v>73</v>
      </c>
      <c r="B32" s="57">
        <v>3</v>
      </c>
      <c r="C32" s="97">
        <f>B32*B33</f>
        <v>9000</v>
      </c>
      <c r="D32" s="97">
        <f t="shared" ref="D32:Z32" si="15">C32+C33</f>
        <v>9000</v>
      </c>
      <c r="E32" s="97">
        <f t="shared" si="15"/>
        <v>9000</v>
      </c>
      <c r="F32" s="97">
        <f t="shared" si="15"/>
        <v>9000</v>
      </c>
      <c r="G32" s="97">
        <f t="shared" si="15"/>
        <v>9000</v>
      </c>
      <c r="H32" s="97">
        <f t="shared" si="15"/>
        <v>9000</v>
      </c>
      <c r="I32" s="97">
        <f t="shared" si="15"/>
        <v>9000</v>
      </c>
      <c r="J32" s="97">
        <f t="shared" si="15"/>
        <v>9000</v>
      </c>
      <c r="K32" s="97">
        <f t="shared" si="15"/>
        <v>9000</v>
      </c>
      <c r="L32" s="97">
        <f t="shared" si="15"/>
        <v>9000</v>
      </c>
      <c r="M32" s="97">
        <f t="shared" si="15"/>
        <v>9000</v>
      </c>
      <c r="N32" s="97">
        <f t="shared" si="15"/>
        <v>9000</v>
      </c>
      <c r="O32" s="97">
        <f t="shared" si="15"/>
        <v>9000</v>
      </c>
      <c r="P32" s="97">
        <f t="shared" si="15"/>
        <v>9000</v>
      </c>
      <c r="Q32" s="97">
        <f t="shared" si="15"/>
        <v>9000</v>
      </c>
      <c r="R32" s="97">
        <f t="shared" si="15"/>
        <v>9000</v>
      </c>
      <c r="S32" s="97">
        <f t="shared" si="15"/>
        <v>9000</v>
      </c>
      <c r="T32" s="97">
        <f t="shared" si="15"/>
        <v>9000</v>
      </c>
      <c r="U32" s="97">
        <f t="shared" si="15"/>
        <v>9000</v>
      </c>
      <c r="V32" s="97">
        <f t="shared" si="15"/>
        <v>9000</v>
      </c>
      <c r="W32" s="97">
        <f t="shared" si="15"/>
        <v>9000</v>
      </c>
      <c r="X32" s="97">
        <f t="shared" si="15"/>
        <v>9000</v>
      </c>
      <c r="Y32" s="97">
        <f t="shared" si="15"/>
        <v>9000</v>
      </c>
      <c r="Z32" s="97">
        <f t="shared" si="15"/>
        <v>9000</v>
      </c>
      <c r="AA32" s="9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7"/>
    </row>
    <row r="33" spans="1:54">
      <c r="A33" s="1" t="s">
        <v>74</v>
      </c>
      <c r="B33" s="57">
        <v>3000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100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7"/>
    </row>
    <row r="34" spans="1:54">
      <c r="A34" s="1" t="s">
        <v>67</v>
      </c>
      <c r="B34" s="57">
        <v>1000</v>
      </c>
      <c r="C34" s="43">
        <f>$B$34</f>
        <v>1000</v>
      </c>
      <c r="D34" s="43">
        <f t="shared" ref="D34:Z34" si="16">$B$34</f>
        <v>1000</v>
      </c>
      <c r="E34" s="43">
        <f t="shared" si="16"/>
        <v>1000</v>
      </c>
      <c r="F34" s="43">
        <f t="shared" si="16"/>
        <v>1000</v>
      </c>
      <c r="G34" s="43">
        <f t="shared" si="16"/>
        <v>1000</v>
      </c>
      <c r="H34" s="43">
        <f t="shared" si="16"/>
        <v>1000</v>
      </c>
      <c r="I34" s="43">
        <f t="shared" si="16"/>
        <v>1000</v>
      </c>
      <c r="J34" s="43">
        <f t="shared" si="16"/>
        <v>1000</v>
      </c>
      <c r="K34" s="43">
        <f t="shared" si="16"/>
        <v>1000</v>
      </c>
      <c r="L34" s="43">
        <f t="shared" si="16"/>
        <v>1000</v>
      </c>
      <c r="M34" s="43">
        <f t="shared" si="16"/>
        <v>1000</v>
      </c>
      <c r="N34" s="43">
        <f t="shared" si="16"/>
        <v>1000</v>
      </c>
      <c r="O34" s="43">
        <f t="shared" si="16"/>
        <v>1000</v>
      </c>
      <c r="P34" s="43">
        <f t="shared" si="16"/>
        <v>1000</v>
      </c>
      <c r="Q34" s="43">
        <f t="shared" si="16"/>
        <v>1000</v>
      </c>
      <c r="R34" s="43">
        <f t="shared" si="16"/>
        <v>1000</v>
      </c>
      <c r="S34" s="43">
        <f t="shared" si="16"/>
        <v>1000</v>
      </c>
      <c r="T34" s="43">
        <f t="shared" si="16"/>
        <v>1000</v>
      </c>
      <c r="U34" s="43">
        <f t="shared" si="16"/>
        <v>1000</v>
      </c>
      <c r="V34" s="43">
        <f t="shared" si="16"/>
        <v>1000</v>
      </c>
      <c r="W34" s="43">
        <f t="shared" si="16"/>
        <v>1000</v>
      </c>
      <c r="X34" s="43">
        <f t="shared" si="16"/>
        <v>1000</v>
      </c>
      <c r="Y34" s="43">
        <f t="shared" si="16"/>
        <v>1000</v>
      </c>
      <c r="Z34" s="43">
        <f t="shared" si="16"/>
        <v>1000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7"/>
    </row>
    <row r="35" spans="1:54">
      <c r="A35" s="1" t="s">
        <v>64</v>
      </c>
      <c r="B35" s="62">
        <v>0</v>
      </c>
      <c r="C35" s="33">
        <v>0</v>
      </c>
      <c r="D35" s="33">
        <v>0</v>
      </c>
      <c r="E35" s="33">
        <f t="shared" ref="E35" si="17">$B$35</f>
        <v>0</v>
      </c>
      <c r="F35" s="33">
        <f t="shared" ref="F35:Z35" si="18">$B$35*E39</f>
        <v>0</v>
      </c>
      <c r="G35" s="33">
        <f t="shared" si="18"/>
        <v>0</v>
      </c>
      <c r="H35" s="33">
        <f t="shared" si="18"/>
        <v>0</v>
      </c>
      <c r="I35" s="33">
        <f t="shared" si="18"/>
        <v>0</v>
      </c>
      <c r="J35" s="33">
        <f t="shared" si="18"/>
        <v>0</v>
      </c>
      <c r="K35" s="33">
        <f t="shared" si="18"/>
        <v>0</v>
      </c>
      <c r="L35" s="33">
        <f t="shared" si="18"/>
        <v>0</v>
      </c>
      <c r="M35" s="33">
        <f t="shared" si="18"/>
        <v>0</v>
      </c>
      <c r="N35" s="33">
        <f t="shared" si="18"/>
        <v>0</v>
      </c>
      <c r="O35" s="33">
        <f t="shared" si="18"/>
        <v>0</v>
      </c>
      <c r="P35" s="33">
        <f t="shared" si="18"/>
        <v>0</v>
      </c>
      <c r="Q35" s="33">
        <f t="shared" si="18"/>
        <v>0</v>
      </c>
      <c r="R35" s="33">
        <f t="shared" si="18"/>
        <v>0</v>
      </c>
      <c r="S35" s="33">
        <f t="shared" si="18"/>
        <v>0</v>
      </c>
      <c r="T35" s="33">
        <f t="shared" si="18"/>
        <v>0</v>
      </c>
      <c r="U35" s="33">
        <f t="shared" si="18"/>
        <v>0</v>
      </c>
      <c r="V35" s="33">
        <f t="shared" si="18"/>
        <v>0</v>
      </c>
      <c r="W35" s="33">
        <f t="shared" si="18"/>
        <v>0</v>
      </c>
      <c r="X35" s="33">
        <f t="shared" si="18"/>
        <v>0</v>
      </c>
      <c r="Y35" s="33">
        <f t="shared" si="18"/>
        <v>0</v>
      </c>
      <c r="Z35" s="33">
        <f t="shared" si="18"/>
        <v>0</v>
      </c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7"/>
    </row>
    <row r="36" spans="1:54">
      <c r="A36" s="1" t="s">
        <v>68</v>
      </c>
      <c r="B36" s="56">
        <v>1000</v>
      </c>
      <c r="C36" s="43">
        <f>$B$36</f>
        <v>1000</v>
      </c>
      <c r="D36" s="43">
        <f t="shared" ref="D36:Z36" si="19">$B$36</f>
        <v>1000</v>
      </c>
      <c r="E36" s="43">
        <f t="shared" si="19"/>
        <v>1000</v>
      </c>
      <c r="F36" s="43">
        <f t="shared" si="19"/>
        <v>1000</v>
      </c>
      <c r="G36" s="43">
        <f t="shared" si="19"/>
        <v>1000</v>
      </c>
      <c r="H36" s="43">
        <f t="shared" si="19"/>
        <v>1000</v>
      </c>
      <c r="I36" s="43">
        <f t="shared" si="19"/>
        <v>1000</v>
      </c>
      <c r="J36" s="43">
        <f t="shared" si="19"/>
        <v>1000</v>
      </c>
      <c r="K36" s="43">
        <f t="shared" si="19"/>
        <v>1000</v>
      </c>
      <c r="L36" s="43">
        <f t="shared" si="19"/>
        <v>1000</v>
      </c>
      <c r="M36" s="43">
        <f t="shared" si="19"/>
        <v>1000</v>
      </c>
      <c r="N36" s="43">
        <f t="shared" si="19"/>
        <v>1000</v>
      </c>
      <c r="O36" s="43">
        <f t="shared" si="19"/>
        <v>1000</v>
      </c>
      <c r="P36" s="43">
        <f t="shared" si="19"/>
        <v>1000</v>
      </c>
      <c r="Q36" s="43">
        <f t="shared" si="19"/>
        <v>1000</v>
      </c>
      <c r="R36" s="43">
        <f t="shared" si="19"/>
        <v>1000</v>
      </c>
      <c r="S36" s="43">
        <f t="shared" si="19"/>
        <v>1000</v>
      </c>
      <c r="T36" s="43">
        <f t="shared" si="19"/>
        <v>1000</v>
      </c>
      <c r="U36" s="43">
        <f t="shared" si="19"/>
        <v>1000</v>
      </c>
      <c r="V36" s="43">
        <f t="shared" si="19"/>
        <v>1000</v>
      </c>
      <c r="W36" s="43">
        <f t="shared" si="19"/>
        <v>1000</v>
      </c>
      <c r="X36" s="43">
        <f t="shared" si="19"/>
        <v>1000</v>
      </c>
      <c r="Y36" s="43">
        <f t="shared" si="19"/>
        <v>1000</v>
      </c>
      <c r="Z36" s="43">
        <f t="shared" si="19"/>
        <v>1000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7"/>
    </row>
    <row r="37" spans="1:54">
      <c r="A37" s="1" t="s">
        <v>65</v>
      </c>
      <c r="B37" s="56">
        <f>10000</f>
        <v>10000</v>
      </c>
      <c r="C37" s="43">
        <f>$B$37</f>
        <v>10000</v>
      </c>
      <c r="D37" s="43">
        <f t="shared" ref="D37:Z37" si="20">$B$37</f>
        <v>10000</v>
      </c>
      <c r="E37" s="43">
        <f t="shared" si="20"/>
        <v>10000</v>
      </c>
      <c r="F37" s="43">
        <f t="shared" si="20"/>
        <v>10000</v>
      </c>
      <c r="G37" s="43">
        <f t="shared" si="20"/>
        <v>10000</v>
      </c>
      <c r="H37" s="43">
        <f t="shared" si="20"/>
        <v>10000</v>
      </c>
      <c r="I37" s="43">
        <f t="shared" si="20"/>
        <v>10000</v>
      </c>
      <c r="J37" s="43">
        <f t="shared" si="20"/>
        <v>10000</v>
      </c>
      <c r="K37" s="43">
        <f t="shared" si="20"/>
        <v>10000</v>
      </c>
      <c r="L37" s="43">
        <f t="shared" si="20"/>
        <v>10000</v>
      </c>
      <c r="M37" s="43">
        <f t="shared" si="20"/>
        <v>10000</v>
      </c>
      <c r="N37" s="43">
        <f t="shared" si="20"/>
        <v>10000</v>
      </c>
      <c r="O37" s="43">
        <f t="shared" si="20"/>
        <v>10000</v>
      </c>
      <c r="P37" s="43">
        <f t="shared" si="20"/>
        <v>10000</v>
      </c>
      <c r="Q37" s="43">
        <f t="shared" si="20"/>
        <v>10000</v>
      </c>
      <c r="R37" s="43">
        <f t="shared" si="20"/>
        <v>10000</v>
      </c>
      <c r="S37" s="43">
        <f t="shared" si="20"/>
        <v>10000</v>
      </c>
      <c r="T37" s="43">
        <f t="shared" si="20"/>
        <v>10000</v>
      </c>
      <c r="U37" s="43">
        <f t="shared" si="20"/>
        <v>10000</v>
      </c>
      <c r="V37" s="43">
        <f t="shared" si="20"/>
        <v>10000</v>
      </c>
      <c r="W37" s="43">
        <f t="shared" si="20"/>
        <v>10000</v>
      </c>
      <c r="X37" s="43">
        <f t="shared" si="20"/>
        <v>10000</v>
      </c>
      <c r="Y37" s="43">
        <f t="shared" si="20"/>
        <v>10000</v>
      </c>
      <c r="Z37" s="43">
        <f t="shared" si="20"/>
        <v>10000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7"/>
    </row>
    <row r="38" spans="1:54">
      <c r="A38" s="1" t="s">
        <v>70</v>
      </c>
      <c r="B38" s="57">
        <f>2000*4</f>
        <v>8000</v>
      </c>
      <c r="C38" s="43">
        <f>$B$38</f>
        <v>8000</v>
      </c>
      <c r="D38" s="43">
        <f t="shared" ref="D38:Z38" si="21">$B$38</f>
        <v>8000</v>
      </c>
      <c r="E38" s="43">
        <f t="shared" si="21"/>
        <v>8000</v>
      </c>
      <c r="F38" s="43">
        <f t="shared" si="21"/>
        <v>8000</v>
      </c>
      <c r="G38" s="43">
        <f t="shared" si="21"/>
        <v>8000</v>
      </c>
      <c r="H38" s="43">
        <f t="shared" si="21"/>
        <v>8000</v>
      </c>
      <c r="I38" s="43">
        <f t="shared" si="21"/>
        <v>8000</v>
      </c>
      <c r="J38" s="43">
        <f t="shared" si="21"/>
        <v>8000</v>
      </c>
      <c r="K38" s="43">
        <f t="shared" si="21"/>
        <v>8000</v>
      </c>
      <c r="L38" s="43">
        <f t="shared" si="21"/>
        <v>8000</v>
      </c>
      <c r="M38" s="43">
        <f t="shared" si="21"/>
        <v>8000</v>
      </c>
      <c r="N38" s="43">
        <f t="shared" si="21"/>
        <v>8000</v>
      </c>
      <c r="O38" s="43">
        <f t="shared" si="21"/>
        <v>8000</v>
      </c>
      <c r="P38" s="43">
        <f t="shared" si="21"/>
        <v>8000</v>
      </c>
      <c r="Q38" s="43">
        <f t="shared" si="21"/>
        <v>8000</v>
      </c>
      <c r="R38" s="43">
        <f t="shared" si="21"/>
        <v>8000</v>
      </c>
      <c r="S38" s="43">
        <f t="shared" si="21"/>
        <v>8000</v>
      </c>
      <c r="T38" s="43">
        <f t="shared" si="21"/>
        <v>8000</v>
      </c>
      <c r="U38" s="43">
        <f t="shared" si="21"/>
        <v>8000</v>
      </c>
      <c r="V38" s="43">
        <f t="shared" si="21"/>
        <v>8000</v>
      </c>
      <c r="W38" s="43">
        <f t="shared" si="21"/>
        <v>8000</v>
      </c>
      <c r="X38" s="43">
        <f t="shared" si="21"/>
        <v>8000</v>
      </c>
      <c r="Y38" s="43">
        <f t="shared" si="21"/>
        <v>8000</v>
      </c>
      <c r="Z38" s="43">
        <f t="shared" si="21"/>
        <v>8000</v>
      </c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7"/>
    </row>
    <row r="39" spans="1:54">
      <c r="A39" s="54" t="s">
        <v>84</v>
      </c>
      <c r="B39" s="61">
        <v>0.15</v>
      </c>
      <c r="C39" s="43">
        <v>0</v>
      </c>
      <c r="D39" s="43">
        <v>0</v>
      </c>
      <c r="E39" s="43">
        <f>B48*B49*B50*B51*B32*3*B39*50%</f>
        <v>2184.5700000000002</v>
      </c>
      <c r="F39" s="43">
        <v>0</v>
      </c>
      <c r="G39" s="43">
        <v>0</v>
      </c>
      <c r="H39" s="43">
        <f>E39</f>
        <v>2184.5700000000002</v>
      </c>
      <c r="I39" s="43">
        <v>0</v>
      </c>
      <c r="J39" s="43">
        <v>0</v>
      </c>
      <c r="K39" s="43">
        <f>H39</f>
        <v>2184.5700000000002</v>
      </c>
      <c r="L39" s="43">
        <v>0</v>
      </c>
      <c r="M39" s="43">
        <v>0</v>
      </c>
      <c r="N39" s="43">
        <f>E39</f>
        <v>2184.5700000000002</v>
      </c>
      <c r="O39" s="43">
        <v>0</v>
      </c>
      <c r="P39" s="43">
        <v>0</v>
      </c>
      <c r="Q39" s="43">
        <f>N39</f>
        <v>2184.5700000000002</v>
      </c>
      <c r="R39" s="43">
        <v>0</v>
      </c>
      <c r="S39" s="43">
        <v>0</v>
      </c>
      <c r="T39" s="43">
        <f>Q39</f>
        <v>2184.5700000000002</v>
      </c>
      <c r="U39" s="43">
        <v>0</v>
      </c>
      <c r="V39" s="43">
        <v>0</v>
      </c>
      <c r="W39" s="43">
        <f>T39</f>
        <v>2184.5700000000002</v>
      </c>
      <c r="X39" s="43">
        <v>0</v>
      </c>
      <c r="Y39" s="43">
        <v>0</v>
      </c>
      <c r="Z39" s="43">
        <f>W39</f>
        <v>2184.5700000000002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7"/>
    </row>
    <row r="40" spans="1:54">
      <c r="A40" s="54" t="s">
        <v>85</v>
      </c>
      <c r="B40" s="59">
        <v>7.0000000000000007E-2</v>
      </c>
      <c r="C40" s="33">
        <f>IF(C39*$B$40&gt;=0,C39*$B$40,0)</f>
        <v>0</v>
      </c>
      <c r="D40" s="33">
        <f>IF(D39*$B$40&gt;=0,D39*$B$40,0)</f>
        <v>0</v>
      </c>
      <c r="E40" s="33">
        <f>IF((C6+D6+E6-C24-D24-E24)&gt;=0,(C6+D6+E6-C24-D24-E24)*$B$40,(C6+D6+E6)*1%)</f>
        <v>18055.802767441863</v>
      </c>
      <c r="F40" s="33">
        <v>0</v>
      </c>
      <c r="G40" s="33">
        <v>0</v>
      </c>
      <c r="H40" s="33">
        <f>IF((F6+G6+H6-F24-G24-H24)&gt;=0,(F6+G6+H6-F24-G24-H24)*$B$40,(F6+G6+H6)*1%)</f>
        <v>9834.0368759690045</v>
      </c>
      <c r="I40" s="33">
        <v>0</v>
      </c>
      <c r="J40" s="33">
        <v>0</v>
      </c>
      <c r="K40" s="33">
        <f>IF((I6+J6+K6-I24-J24-K24)&gt;=0,(I6+J6+K6-I24-J24-K24)*$B$40,(I6+J6+K6)*1%)</f>
        <v>10197.770984496132</v>
      </c>
      <c r="L40" s="33">
        <v>0</v>
      </c>
      <c r="M40" s="33">
        <v>0</v>
      </c>
      <c r="N40" s="33">
        <f>IF((L6+M6+N6-L24-M24-N24)&gt;=0,(L6+M6+N6-L24-M24-N24)*$B$40,(L6+M6+N6)*1%)</f>
        <v>10320.270984496128</v>
      </c>
      <c r="O40" s="33">
        <v>0</v>
      </c>
      <c r="P40" s="33">
        <v>0</v>
      </c>
      <c r="Q40" s="33">
        <f>IF((O6+P6+Q6-O24-P24-Q24)&gt;=0,(O6+P6+Q6-O24-P24-Q24)*$B$40,(O6+P6+Q6)*1%)</f>
        <v>9715.3027674418627</v>
      </c>
      <c r="R40" s="33">
        <v>0</v>
      </c>
      <c r="S40" s="33">
        <v>0</v>
      </c>
      <c r="T40" s="33">
        <f>IF((R6+S6+T6-R24-S24-T24)&gt;=0,(R6+S6+T6-R24-S24-T24)*$B$40,(R6+S6+T6)*1%)</f>
        <v>9834.0368759690045</v>
      </c>
      <c r="U40" s="33">
        <v>0</v>
      </c>
      <c r="V40" s="33">
        <v>0</v>
      </c>
      <c r="W40" s="33">
        <f>IF((U6+V6+W6-U24-V24-W24)&gt;=0,(U6+V6+W6-U24-V24-W24)*$B$40,(U6+V6+W6)*1%)</f>
        <v>10197.770984496132</v>
      </c>
      <c r="X40" s="33">
        <v>0</v>
      </c>
      <c r="Y40" s="33">
        <v>0</v>
      </c>
      <c r="Z40" s="33">
        <f>IF((X6+Y6+Z6-X24-Y24-Z24)&gt;=0,(X6+Y6+Z6-X24-Y24-Z24)*$B$40,(X6+Y6+Z6)*1%)</f>
        <v>10320.270984496128</v>
      </c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7"/>
    </row>
    <row r="41" spans="1:54">
      <c r="A41" s="32" t="s">
        <v>94</v>
      </c>
      <c r="B41" s="52">
        <f>-B2</f>
        <v>-176000</v>
      </c>
      <c r="C41" s="36">
        <f>C6-C24-C39</f>
        <v>159759.54806201556</v>
      </c>
      <c r="D41" s="36">
        <f t="shared" ref="D41:Z41" si="22">D6-D24-D39</f>
        <v>62820.943410852691</v>
      </c>
      <c r="E41" s="36">
        <f t="shared" si="22"/>
        <v>33174.9780620155</v>
      </c>
      <c r="F41" s="36">
        <f t="shared" si="22"/>
        <v>44513.346511627897</v>
      </c>
      <c r="G41" s="36">
        <f t="shared" si="22"/>
        <v>51459.548062015499</v>
      </c>
      <c r="H41" s="36">
        <f t="shared" si="22"/>
        <v>42328.776511627897</v>
      </c>
      <c r="I41" s="36">
        <f t="shared" si="22"/>
        <v>51459.548062015499</v>
      </c>
      <c r="J41" s="36">
        <f t="shared" si="22"/>
        <v>49709.548062015499</v>
      </c>
      <c r="K41" s="36">
        <f t="shared" si="22"/>
        <v>42328.776511627897</v>
      </c>
      <c r="L41" s="36">
        <f t="shared" si="22"/>
        <v>51459.548062015499</v>
      </c>
      <c r="M41" s="36">
        <f t="shared" si="22"/>
        <v>44513.346511627897</v>
      </c>
      <c r="N41" s="36">
        <f t="shared" si="22"/>
        <v>49274.9780620155</v>
      </c>
      <c r="O41" s="36">
        <f t="shared" si="22"/>
        <v>49709.548062015499</v>
      </c>
      <c r="P41" s="36">
        <f t="shared" si="22"/>
        <v>34120.943410852691</v>
      </c>
      <c r="Q41" s="36">
        <f t="shared" si="22"/>
        <v>52774.9780620155</v>
      </c>
      <c r="R41" s="36">
        <f t="shared" si="22"/>
        <v>44513.346511627897</v>
      </c>
      <c r="S41" s="36">
        <f t="shared" si="22"/>
        <v>51459.548062015499</v>
      </c>
      <c r="T41" s="36">
        <f t="shared" si="22"/>
        <v>42328.776511627897</v>
      </c>
      <c r="U41" s="36">
        <f t="shared" si="22"/>
        <v>51459.548062015499</v>
      </c>
      <c r="V41" s="36">
        <f t="shared" si="22"/>
        <v>49709.548062015499</v>
      </c>
      <c r="W41" s="36">
        <f t="shared" si="22"/>
        <v>42328.776511627897</v>
      </c>
      <c r="X41" s="36">
        <f t="shared" si="22"/>
        <v>51459.548062015499</v>
      </c>
      <c r="Y41" s="36">
        <f t="shared" si="22"/>
        <v>44513.346511627897</v>
      </c>
      <c r="Z41" s="36">
        <f t="shared" si="22"/>
        <v>49274.9780620155</v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7"/>
    </row>
    <row r="42" spans="1:54">
      <c r="A42" s="1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8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7"/>
    </row>
    <row r="43" spans="1:54">
      <c r="A43" s="4" t="s">
        <v>69</v>
      </c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8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7"/>
    </row>
    <row r="44" spans="1:54">
      <c r="A44" s="32" t="s">
        <v>31</v>
      </c>
      <c r="B44" s="35">
        <f>-B2</f>
        <v>-176000</v>
      </c>
      <c r="C44" s="36">
        <f>B44+C41</f>
        <v>-16240.451937984442</v>
      </c>
      <c r="D44" s="36">
        <f t="shared" ref="D44:Z44" si="23">C44+D41</f>
        <v>46580.491472868249</v>
      </c>
      <c r="E44" s="36">
        <f t="shared" si="23"/>
        <v>79755.469534883741</v>
      </c>
      <c r="F44" s="36">
        <f t="shared" si="23"/>
        <v>124268.81604651164</v>
      </c>
      <c r="G44" s="36">
        <f t="shared" si="23"/>
        <v>175728.36410852714</v>
      </c>
      <c r="H44" s="36">
        <f t="shared" si="23"/>
        <v>218057.14062015503</v>
      </c>
      <c r="I44" s="36">
        <f t="shared" si="23"/>
        <v>269516.68868217053</v>
      </c>
      <c r="J44" s="36">
        <f t="shared" si="23"/>
        <v>319226.23674418603</v>
      </c>
      <c r="K44" s="36">
        <f t="shared" si="23"/>
        <v>361555.01325581392</v>
      </c>
      <c r="L44" s="36">
        <f t="shared" si="23"/>
        <v>413014.56131782942</v>
      </c>
      <c r="M44" s="36">
        <f t="shared" si="23"/>
        <v>457527.90782945731</v>
      </c>
      <c r="N44" s="36">
        <f t="shared" si="23"/>
        <v>506802.8858914728</v>
      </c>
      <c r="O44" s="36">
        <f t="shared" si="23"/>
        <v>556512.43395348825</v>
      </c>
      <c r="P44" s="36">
        <f t="shared" si="23"/>
        <v>590633.37736434094</v>
      </c>
      <c r="Q44" s="36">
        <f t="shared" si="23"/>
        <v>643408.35542635643</v>
      </c>
      <c r="R44" s="36">
        <f t="shared" si="23"/>
        <v>687921.70193798433</v>
      </c>
      <c r="S44" s="36">
        <f t="shared" si="23"/>
        <v>739381.24999999977</v>
      </c>
      <c r="T44" s="36">
        <f t="shared" si="23"/>
        <v>781710.02651162772</v>
      </c>
      <c r="U44" s="36">
        <f t="shared" si="23"/>
        <v>833169.57457364327</v>
      </c>
      <c r="V44" s="36">
        <f t="shared" si="23"/>
        <v>882879.12263565883</v>
      </c>
      <c r="W44" s="36">
        <f t="shared" si="23"/>
        <v>925207.89914728678</v>
      </c>
      <c r="X44" s="36">
        <f t="shared" si="23"/>
        <v>976667.44720930234</v>
      </c>
      <c r="Y44" s="36">
        <f t="shared" si="23"/>
        <v>1021180.7937209302</v>
      </c>
      <c r="Z44" s="36">
        <f t="shared" si="23"/>
        <v>1070455.7717829458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7"/>
    </row>
    <row r="45" spans="1:54">
      <c r="A45" s="4" t="s">
        <v>90</v>
      </c>
      <c r="B45" s="2"/>
      <c r="K45" s="53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</row>
    <row r="46" spans="1:54">
      <c r="A46" s="1" t="s">
        <v>91</v>
      </c>
      <c r="B46" s="68">
        <v>9445</v>
      </c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</row>
    <row r="47" spans="1:54" hidden="1">
      <c r="A47" s="67" t="s">
        <v>50</v>
      </c>
      <c r="B47" s="68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</row>
    <row r="48" spans="1:54">
      <c r="A48" s="1" t="s">
        <v>86</v>
      </c>
      <c r="B48" s="62">
        <v>1800</v>
      </c>
      <c r="C48" s="51"/>
      <c r="D48" s="51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</row>
    <row r="49" spans="1:54">
      <c r="A49" s="1" t="s">
        <v>88</v>
      </c>
      <c r="B49" s="66">
        <v>1</v>
      </c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</row>
    <row r="50" spans="1:54">
      <c r="A50" s="1" t="s">
        <v>87</v>
      </c>
      <c r="B50" s="66">
        <v>1.798</v>
      </c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</row>
    <row r="51" spans="1:54">
      <c r="A51" s="1" t="s">
        <v>89</v>
      </c>
      <c r="B51" s="62">
        <v>1</v>
      </c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</row>
    <row r="52" spans="1:54"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</row>
    <row r="53" spans="1:54"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</row>
    <row r="54" spans="1:54"/>
    <row r="55" spans="1:54"/>
    <row r="56" spans="1:54"/>
    <row r="57" spans="1:54"/>
    <row r="58" spans="1:54"/>
    <row r="59" spans="1:54"/>
    <row r="60" spans="1:54"/>
    <row r="61" spans="1:54"/>
    <row r="62" spans="1:54"/>
    <row r="63" spans="1:54"/>
    <row r="64" spans="1:5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mergeCells count="25">
    <mergeCell ref="AA32:AA33"/>
    <mergeCell ref="U32:U33"/>
    <mergeCell ref="V32:V33"/>
    <mergeCell ref="W32:W33"/>
    <mergeCell ref="X32:X33"/>
    <mergeCell ref="Y32:Y33"/>
    <mergeCell ref="Z32:Z33"/>
    <mergeCell ref="T32:T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H32:H33"/>
    <mergeCell ref="C32:C33"/>
    <mergeCell ref="D32:D33"/>
    <mergeCell ref="E32:E33"/>
    <mergeCell ref="F32:F33"/>
    <mergeCell ref="G32:G33"/>
  </mergeCells>
  <phoneticPr fontId="1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7"/>
  <sheetViews>
    <sheetView zoomScale="85" zoomScaleNormal="85" workbookViewId="0">
      <pane xSplit="2" ySplit="1" topLeftCell="C27" activePane="bottomRight" state="frozen"/>
      <selection pane="topRight" activeCell="C1" sqref="C1"/>
      <selection pane="bottomLeft" activeCell="A2" sqref="A2"/>
      <selection pane="bottomRight" activeCell="B9" sqref="B9"/>
    </sheetView>
  </sheetViews>
  <sheetFormatPr defaultColWidth="0" defaultRowHeight="13.8" zeroHeight="1"/>
  <cols>
    <col min="1" max="1" width="49.6640625" style="5" bestFit="1" customWidth="1"/>
    <col min="2" max="2" width="14.109375" style="6" customWidth="1"/>
    <col min="3" max="3" width="15.33203125" style="7" customWidth="1"/>
    <col min="4" max="4" width="14.109375" style="7" customWidth="1"/>
    <col min="5" max="5" width="14" style="7" customWidth="1"/>
    <col min="6" max="6" width="13.6640625" style="7" customWidth="1"/>
    <col min="7" max="7" width="12.6640625" style="7" customWidth="1"/>
    <col min="8" max="8" width="13" style="7" customWidth="1"/>
    <col min="9" max="9" width="12.5546875" style="7" customWidth="1"/>
    <col min="10" max="10" width="13.88671875" customWidth="1"/>
    <col min="11" max="11" width="13.6640625" customWidth="1"/>
    <col min="12" max="13" width="14.44140625" customWidth="1"/>
    <col min="14" max="53" width="13.6640625" customWidth="1"/>
    <col min="54" max="54" width="20.44140625" customWidth="1"/>
  </cols>
  <sheetData>
    <row r="1" spans="1:54" s="31" customFormat="1" ht="41.4">
      <c r="A1" s="58" t="s">
        <v>75</v>
      </c>
      <c r="B1" s="30"/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0" t="s">
        <v>5</v>
      </c>
      <c r="I1" s="30" t="s">
        <v>6</v>
      </c>
      <c r="J1" s="30" t="s">
        <v>9</v>
      </c>
      <c r="K1" s="30" t="s">
        <v>10</v>
      </c>
      <c r="L1" s="30" t="s">
        <v>11</v>
      </c>
      <c r="M1" s="30" t="s">
        <v>12</v>
      </c>
      <c r="N1" s="37" t="s">
        <v>13</v>
      </c>
      <c r="O1" s="30" t="s">
        <v>51</v>
      </c>
      <c r="P1" s="30" t="s">
        <v>52</v>
      </c>
      <c r="Q1" s="30" t="s">
        <v>53</v>
      </c>
      <c r="R1" s="30" t="s">
        <v>54</v>
      </c>
      <c r="S1" s="30" t="s">
        <v>55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6"/>
    </row>
    <row r="2" spans="1:54">
      <c r="A2" s="39" t="s">
        <v>14</v>
      </c>
      <c r="B2" s="40">
        <f>SUM(B3:B5)</f>
        <v>176000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7"/>
    </row>
    <row r="3" spans="1:54">
      <c r="A3" s="1" t="s">
        <v>76</v>
      </c>
      <c r="B3" s="56">
        <f>1000+20000</f>
        <v>21000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7"/>
    </row>
    <row r="4" spans="1:54">
      <c r="A4" s="1" t="s">
        <v>63</v>
      </c>
      <c r="B4" s="56">
        <f>150000</f>
        <v>150000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7"/>
    </row>
    <row r="5" spans="1:54">
      <c r="A5" s="1" t="s">
        <v>66</v>
      </c>
      <c r="B5" s="56">
        <v>5000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7"/>
    </row>
    <row r="6" spans="1:54">
      <c r="A6" s="39" t="s">
        <v>20</v>
      </c>
      <c r="B6" s="40">
        <v>0</v>
      </c>
      <c r="C6" s="41">
        <f>C7+C11</f>
        <v>1364000</v>
      </c>
      <c r="D6" s="41">
        <f t="shared" ref="D6:Z6" si="0">D7+D11</f>
        <v>1232000</v>
      </c>
      <c r="E6" s="41">
        <f t="shared" si="0"/>
        <v>1147000</v>
      </c>
      <c r="F6" s="41">
        <f t="shared" si="0"/>
        <v>1110000</v>
      </c>
      <c r="G6" s="41">
        <f t="shared" si="0"/>
        <v>1147000</v>
      </c>
      <c r="H6" s="41">
        <f t="shared" si="0"/>
        <v>1110000</v>
      </c>
      <c r="I6" s="41">
        <f t="shared" si="0"/>
        <v>1147000</v>
      </c>
      <c r="J6" s="41">
        <f t="shared" si="0"/>
        <v>1147000</v>
      </c>
      <c r="K6" s="41">
        <f t="shared" si="0"/>
        <v>1110000</v>
      </c>
      <c r="L6" s="41">
        <f t="shared" si="0"/>
        <v>1147000</v>
      </c>
      <c r="M6" s="41">
        <f t="shared" si="0"/>
        <v>1110000</v>
      </c>
      <c r="N6" s="41">
        <f t="shared" si="0"/>
        <v>1147000</v>
      </c>
      <c r="O6" s="41">
        <f t="shared" si="0"/>
        <v>1147000</v>
      </c>
      <c r="P6" s="41">
        <f t="shared" si="0"/>
        <v>1036000</v>
      </c>
      <c r="Q6" s="41">
        <f t="shared" si="0"/>
        <v>1147000</v>
      </c>
      <c r="R6" s="41">
        <f t="shared" si="0"/>
        <v>1110000</v>
      </c>
      <c r="S6" s="41">
        <f t="shared" si="0"/>
        <v>1147000</v>
      </c>
      <c r="T6" s="41">
        <f t="shared" si="0"/>
        <v>1110000</v>
      </c>
      <c r="U6" s="41">
        <f t="shared" si="0"/>
        <v>1147000</v>
      </c>
      <c r="V6" s="41">
        <f t="shared" si="0"/>
        <v>1147000</v>
      </c>
      <c r="W6" s="41">
        <f t="shared" si="0"/>
        <v>1110000</v>
      </c>
      <c r="X6" s="41">
        <f t="shared" si="0"/>
        <v>1147000</v>
      </c>
      <c r="Y6" s="41">
        <f t="shared" si="0"/>
        <v>1110000</v>
      </c>
      <c r="Z6" s="41">
        <f t="shared" si="0"/>
        <v>1147000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1:54" s="91" customFormat="1">
      <c r="A7" s="64" t="s">
        <v>113</v>
      </c>
      <c r="B7" s="92"/>
      <c r="C7" s="75">
        <f>C8*C9*C10</f>
        <v>1007500</v>
      </c>
      <c r="D7" s="75">
        <f t="shared" ref="D7:Z7" si="1">D8*D9*D10</f>
        <v>910000</v>
      </c>
      <c r="E7" s="75">
        <f t="shared" si="1"/>
        <v>1007500</v>
      </c>
      <c r="F7" s="75">
        <f t="shared" si="1"/>
        <v>975000</v>
      </c>
      <c r="G7" s="75">
        <f t="shared" si="1"/>
        <v>1007500</v>
      </c>
      <c r="H7" s="75">
        <f t="shared" si="1"/>
        <v>975000</v>
      </c>
      <c r="I7" s="75">
        <f t="shared" si="1"/>
        <v>1007500</v>
      </c>
      <c r="J7" s="75">
        <f t="shared" si="1"/>
        <v>1007500</v>
      </c>
      <c r="K7" s="75">
        <f t="shared" si="1"/>
        <v>975000</v>
      </c>
      <c r="L7" s="75">
        <f t="shared" si="1"/>
        <v>1007500</v>
      </c>
      <c r="M7" s="75">
        <f t="shared" si="1"/>
        <v>975000</v>
      </c>
      <c r="N7" s="75">
        <f t="shared" si="1"/>
        <v>1007500</v>
      </c>
      <c r="O7" s="75">
        <f t="shared" si="1"/>
        <v>1007500</v>
      </c>
      <c r="P7" s="75">
        <f t="shared" si="1"/>
        <v>910000</v>
      </c>
      <c r="Q7" s="75">
        <f t="shared" si="1"/>
        <v>1007500</v>
      </c>
      <c r="R7" s="75">
        <f t="shared" si="1"/>
        <v>975000</v>
      </c>
      <c r="S7" s="75">
        <f t="shared" si="1"/>
        <v>1007500</v>
      </c>
      <c r="T7" s="75">
        <f t="shared" si="1"/>
        <v>975000</v>
      </c>
      <c r="U7" s="75">
        <f t="shared" si="1"/>
        <v>1007500</v>
      </c>
      <c r="V7" s="75">
        <f t="shared" si="1"/>
        <v>1007500</v>
      </c>
      <c r="W7" s="75">
        <f t="shared" si="1"/>
        <v>975000</v>
      </c>
      <c r="X7" s="75">
        <f t="shared" si="1"/>
        <v>1007500</v>
      </c>
      <c r="Y7" s="75">
        <f t="shared" si="1"/>
        <v>975000</v>
      </c>
      <c r="Z7" s="75">
        <f t="shared" si="1"/>
        <v>1007500</v>
      </c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</row>
    <row r="8" spans="1:54">
      <c r="A8" s="71" t="s">
        <v>78</v>
      </c>
      <c r="B8" s="56">
        <v>6500</v>
      </c>
      <c r="C8" s="75">
        <f>$B$8</f>
        <v>6500</v>
      </c>
      <c r="D8" s="75">
        <f t="shared" ref="D8:Z8" si="2">$B$8</f>
        <v>6500</v>
      </c>
      <c r="E8" s="75">
        <f t="shared" si="2"/>
        <v>6500</v>
      </c>
      <c r="F8" s="75">
        <f t="shared" si="2"/>
        <v>6500</v>
      </c>
      <c r="G8" s="75">
        <f t="shared" si="2"/>
        <v>6500</v>
      </c>
      <c r="H8" s="75">
        <f t="shared" si="2"/>
        <v>6500</v>
      </c>
      <c r="I8" s="75">
        <f t="shared" si="2"/>
        <v>6500</v>
      </c>
      <c r="J8" s="75">
        <f t="shared" si="2"/>
        <v>6500</v>
      </c>
      <c r="K8" s="75">
        <f t="shared" si="2"/>
        <v>6500</v>
      </c>
      <c r="L8" s="75">
        <f t="shared" si="2"/>
        <v>6500</v>
      </c>
      <c r="M8" s="75">
        <f t="shared" si="2"/>
        <v>6500</v>
      </c>
      <c r="N8" s="75">
        <f t="shared" si="2"/>
        <v>6500</v>
      </c>
      <c r="O8" s="75">
        <f t="shared" si="2"/>
        <v>6500</v>
      </c>
      <c r="P8" s="75">
        <f t="shared" si="2"/>
        <v>6500</v>
      </c>
      <c r="Q8" s="75">
        <f t="shared" si="2"/>
        <v>6500</v>
      </c>
      <c r="R8" s="75">
        <f t="shared" si="2"/>
        <v>6500</v>
      </c>
      <c r="S8" s="75">
        <f t="shared" si="2"/>
        <v>6500</v>
      </c>
      <c r="T8" s="75">
        <f t="shared" si="2"/>
        <v>6500</v>
      </c>
      <c r="U8" s="75">
        <f t="shared" si="2"/>
        <v>6500</v>
      </c>
      <c r="V8" s="75">
        <f t="shared" si="2"/>
        <v>6500</v>
      </c>
      <c r="W8" s="75">
        <f t="shared" si="2"/>
        <v>6500</v>
      </c>
      <c r="X8" s="75">
        <f t="shared" si="2"/>
        <v>6500</v>
      </c>
      <c r="Y8" s="75">
        <f t="shared" si="2"/>
        <v>6500</v>
      </c>
      <c r="Z8" s="75">
        <f t="shared" si="2"/>
        <v>6500</v>
      </c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pans="1:54">
      <c r="A9" s="71" t="s">
        <v>79</v>
      </c>
      <c r="B9" s="56">
        <v>5</v>
      </c>
      <c r="C9" s="75">
        <f>$B$9</f>
        <v>5</v>
      </c>
      <c r="D9" s="75">
        <f t="shared" ref="D9:Z9" si="3">$B$9</f>
        <v>5</v>
      </c>
      <c r="E9" s="75">
        <f t="shared" si="3"/>
        <v>5</v>
      </c>
      <c r="F9" s="75">
        <f t="shared" si="3"/>
        <v>5</v>
      </c>
      <c r="G9" s="75">
        <f t="shared" si="3"/>
        <v>5</v>
      </c>
      <c r="H9" s="75">
        <f t="shared" si="3"/>
        <v>5</v>
      </c>
      <c r="I9" s="75">
        <f t="shared" si="3"/>
        <v>5</v>
      </c>
      <c r="J9" s="75">
        <f t="shared" si="3"/>
        <v>5</v>
      </c>
      <c r="K9" s="75">
        <f t="shared" si="3"/>
        <v>5</v>
      </c>
      <c r="L9" s="75">
        <f t="shared" si="3"/>
        <v>5</v>
      </c>
      <c r="M9" s="75">
        <f t="shared" si="3"/>
        <v>5</v>
      </c>
      <c r="N9" s="75">
        <f t="shared" si="3"/>
        <v>5</v>
      </c>
      <c r="O9" s="75">
        <f t="shared" si="3"/>
        <v>5</v>
      </c>
      <c r="P9" s="75">
        <f t="shared" si="3"/>
        <v>5</v>
      </c>
      <c r="Q9" s="75">
        <f t="shared" si="3"/>
        <v>5</v>
      </c>
      <c r="R9" s="75">
        <f t="shared" si="3"/>
        <v>5</v>
      </c>
      <c r="S9" s="75">
        <f t="shared" si="3"/>
        <v>5</v>
      </c>
      <c r="T9" s="75">
        <f t="shared" si="3"/>
        <v>5</v>
      </c>
      <c r="U9" s="75">
        <f t="shared" si="3"/>
        <v>5</v>
      </c>
      <c r="V9" s="75">
        <f t="shared" si="3"/>
        <v>5</v>
      </c>
      <c r="W9" s="75">
        <f t="shared" si="3"/>
        <v>5</v>
      </c>
      <c r="X9" s="75">
        <f t="shared" si="3"/>
        <v>5</v>
      </c>
      <c r="Y9" s="75">
        <f t="shared" si="3"/>
        <v>5</v>
      </c>
      <c r="Z9" s="75">
        <f t="shared" si="3"/>
        <v>5</v>
      </c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>
      <c r="A10" s="71" t="s">
        <v>80</v>
      </c>
      <c r="B10" s="65"/>
      <c r="C10" s="76">
        <v>31</v>
      </c>
      <c r="D10" s="76">
        <v>28</v>
      </c>
      <c r="E10" s="76">
        <v>31</v>
      </c>
      <c r="F10" s="76">
        <v>30</v>
      </c>
      <c r="G10" s="76">
        <v>31</v>
      </c>
      <c r="H10" s="76">
        <v>30</v>
      </c>
      <c r="I10" s="76">
        <v>31</v>
      </c>
      <c r="J10" s="76">
        <v>31</v>
      </c>
      <c r="K10" s="76">
        <v>30</v>
      </c>
      <c r="L10" s="76">
        <v>31</v>
      </c>
      <c r="M10" s="76">
        <v>30</v>
      </c>
      <c r="N10" s="76">
        <v>31</v>
      </c>
      <c r="O10" s="76">
        <v>31</v>
      </c>
      <c r="P10" s="76">
        <v>28</v>
      </c>
      <c r="Q10" s="76">
        <v>31</v>
      </c>
      <c r="R10" s="76">
        <v>30</v>
      </c>
      <c r="S10" s="76">
        <v>31</v>
      </c>
      <c r="T10" s="76">
        <v>30</v>
      </c>
      <c r="U10" s="76">
        <v>31</v>
      </c>
      <c r="V10" s="76">
        <v>31</v>
      </c>
      <c r="W10" s="76">
        <v>30</v>
      </c>
      <c r="X10" s="76">
        <v>31</v>
      </c>
      <c r="Y10" s="76">
        <v>30</v>
      </c>
      <c r="Z10" s="76">
        <v>31</v>
      </c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pans="1:54">
      <c r="A11" s="69" t="s">
        <v>95</v>
      </c>
      <c r="B11" s="70"/>
      <c r="C11" s="77">
        <f>C12+C15+C18+C21</f>
        <v>356500</v>
      </c>
      <c r="D11" s="77">
        <f t="shared" ref="D11:Z11" si="4">D12+D15+D18+D21</f>
        <v>322000</v>
      </c>
      <c r="E11" s="77">
        <f t="shared" si="4"/>
        <v>139500</v>
      </c>
      <c r="F11" s="77">
        <f t="shared" si="4"/>
        <v>135000</v>
      </c>
      <c r="G11" s="77">
        <f t="shared" si="4"/>
        <v>139500</v>
      </c>
      <c r="H11" s="77">
        <f t="shared" si="4"/>
        <v>135000</v>
      </c>
      <c r="I11" s="77">
        <f t="shared" si="4"/>
        <v>139500</v>
      </c>
      <c r="J11" s="77">
        <f t="shared" si="4"/>
        <v>139500</v>
      </c>
      <c r="K11" s="77">
        <f t="shared" si="4"/>
        <v>135000</v>
      </c>
      <c r="L11" s="77">
        <f t="shared" si="4"/>
        <v>139500</v>
      </c>
      <c r="M11" s="77">
        <f t="shared" si="4"/>
        <v>135000</v>
      </c>
      <c r="N11" s="77">
        <f t="shared" si="4"/>
        <v>139500</v>
      </c>
      <c r="O11" s="77">
        <f t="shared" si="4"/>
        <v>139500</v>
      </c>
      <c r="P11" s="77">
        <f t="shared" si="4"/>
        <v>126000</v>
      </c>
      <c r="Q11" s="77">
        <f t="shared" si="4"/>
        <v>139500</v>
      </c>
      <c r="R11" s="77">
        <f t="shared" si="4"/>
        <v>135000</v>
      </c>
      <c r="S11" s="77">
        <f t="shared" si="4"/>
        <v>139500</v>
      </c>
      <c r="T11" s="77">
        <f t="shared" si="4"/>
        <v>135000</v>
      </c>
      <c r="U11" s="77">
        <f t="shared" si="4"/>
        <v>139500</v>
      </c>
      <c r="V11" s="77">
        <f t="shared" si="4"/>
        <v>139500</v>
      </c>
      <c r="W11" s="77">
        <f t="shared" si="4"/>
        <v>135000</v>
      </c>
      <c r="X11" s="77">
        <f t="shared" si="4"/>
        <v>139500</v>
      </c>
      <c r="Y11" s="77">
        <f t="shared" si="4"/>
        <v>135000</v>
      </c>
      <c r="Z11" s="77">
        <f t="shared" si="4"/>
        <v>139500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pans="1:54">
      <c r="A12" s="69" t="s">
        <v>96</v>
      </c>
      <c r="B12" s="93"/>
      <c r="C12" s="77">
        <f>B13*B14*C10</f>
        <v>217000</v>
      </c>
      <c r="D12" s="75">
        <f>B13*B14*D10</f>
        <v>196000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4">
      <c r="A13" s="71" t="s">
        <v>79</v>
      </c>
      <c r="B13" s="72">
        <v>2</v>
      </c>
      <c r="E13" s="78"/>
      <c r="F13" s="78"/>
      <c r="G13" s="78"/>
      <c r="H13" s="78"/>
      <c r="I13" s="78"/>
      <c r="J13" s="78"/>
      <c r="K13" s="78"/>
      <c r="L13" s="78"/>
      <c r="M13" s="78"/>
      <c r="N13" s="78">
        <f>B13*B14*N10</f>
        <v>217000</v>
      </c>
      <c r="O13" s="78">
        <f>B13*B14*O10</f>
        <v>217000</v>
      </c>
      <c r="P13" s="78">
        <f>B13*B14*P10</f>
        <v>196000</v>
      </c>
      <c r="Q13" s="78"/>
      <c r="R13" s="78"/>
      <c r="S13" s="78"/>
      <c r="T13" s="78"/>
      <c r="U13" s="78"/>
      <c r="V13" s="78"/>
      <c r="W13" s="78"/>
      <c r="X13" s="78"/>
      <c r="Y13" s="78"/>
      <c r="Z13" s="78">
        <f>B13*B14*Z10</f>
        <v>217000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1:54">
      <c r="A14" s="71" t="s">
        <v>97</v>
      </c>
      <c r="B14" s="72">
        <v>3500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9"/>
      <c r="O14" s="79"/>
      <c r="P14" s="79"/>
      <c r="Q14" s="75"/>
      <c r="R14" s="75"/>
      <c r="S14" s="75"/>
      <c r="T14" s="75"/>
      <c r="U14" s="75"/>
      <c r="V14" s="75"/>
      <c r="W14" s="75"/>
      <c r="X14" s="75"/>
      <c r="Y14" s="75"/>
      <c r="Z14" s="79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1:54">
      <c r="A15" s="69" t="s">
        <v>98</v>
      </c>
      <c r="B15" s="94"/>
      <c r="C15" s="75">
        <f>$B$16*$B$17*C10</f>
        <v>68200</v>
      </c>
      <c r="D15" s="75">
        <f t="shared" ref="D15:Z15" si="5">$B$16*$B$17*D10</f>
        <v>61600</v>
      </c>
      <c r="E15" s="75">
        <f t="shared" si="5"/>
        <v>68200</v>
      </c>
      <c r="F15" s="75">
        <f t="shared" si="5"/>
        <v>66000</v>
      </c>
      <c r="G15" s="75">
        <f t="shared" si="5"/>
        <v>68200</v>
      </c>
      <c r="H15" s="75">
        <f t="shared" si="5"/>
        <v>66000</v>
      </c>
      <c r="I15" s="75">
        <f t="shared" si="5"/>
        <v>68200</v>
      </c>
      <c r="J15" s="75">
        <f t="shared" si="5"/>
        <v>68200</v>
      </c>
      <c r="K15" s="75">
        <f t="shared" si="5"/>
        <v>66000</v>
      </c>
      <c r="L15" s="75">
        <f t="shared" si="5"/>
        <v>68200</v>
      </c>
      <c r="M15" s="75">
        <f t="shared" si="5"/>
        <v>66000</v>
      </c>
      <c r="N15" s="75">
        <f t="shared" si="5"/>
        <v>68200</v>
      </c>
      <c r="O15" s="75">
        <f t="shared" si="5"/>
        <v>68200</v>
      </c>
      <c r="P15" s="75">
        <f t="shared" si="5"/>
        <v>61600</v>
      </c>
      <c r="Q15" s="75">
        <f t="shared" si="5"/>
        <v>68200</v>
      </c>
      <c r="R15" s="75">
        <f t="shared" si="5"/>
        <v>66000</v>
      </c>
      <c r="S15" s="75">
        <f t="shared" si="5"/>
        <v>68200</v>
      </c>
      <c r="T15" s="75">
        <f t="shared" si="5"/>
        <v>66000</v>
      </c>
      <c r="U15" s="75">
        <f t="shared" si="5"/>
        <v>68200</v>
      </c>
      <c r="V15" s="75">
        <f t="shared" si="5"/>
        <v>68200</v>
      </c>
      <c r="W15" s="75">
        <f t="shared" si="5"/>
        <v>66000</v>
      </c>
      <c r="X15" s="75">
        <f t="shared" si="5"/>
        <v>68200</v>
      </c>
      <c r="Y15" s="75">
        <f t="shared" si="5"/>
        <v>66000</v>
      </c>
      <c r="Z15" s="75">
        <f t="shared" si="5"/>
        <v>68200</v>
      </c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spans="1:54">
      <c r="A16" s="71" t="s">
        <v>79</v>
      </c>
      <c r="B16" s="72">
        <v>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pans="1:54">
      <c r="A17" s="71" t="s">
        <v>97</v>
      </c>
      <c r="B17" s="72">
        <v>1100</v>
      </c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spans="1:54">
      <c r="A18" s="69" t="s">
        <v>99</v>
      </c>
      <c r="B18" s="93"/>
      <c r="C18" s="77">
        <f>$B$19*$B$20*C10</f>
        <v>21700</v>
      </c>
      <c r="D18" s="77">
        <f t="shared" ref="D18:Z18" si="6">$B$19*$B$20*D10</f>
        <v>19600</v>
      </c>
      <c r="E18" s="77">
        <f t="shared" si="6"/>
        <v>21700</v>
      </c>
      <c r="F18" s="77">
        <f t="shared" si="6"/>
        <v>21000</v>
      </c>
      <c r="G18" s="77">
        <f t="shared" si="6"/>
        <v>21700</v>
      </c>
      <c r="H18" s="77">
        <f t="shared" si="6"/>
        <v>21000</v>
      </c>
      <c r="I18" s="77">
        <f t="shared" si="6"/>
        <v>21700</v>
      </c>
      <c r="J18" s="77">
        <f t="shared" si="6"/>
        <v>21700</v>
      </c>
      <c r="K18" s="77">
        <f t="shared" si="6"/>
        <v>21000</v>
      </c>
      <c r="L18" s="77">
        <f t="shared" si="6"/>
        <v>21700</v>
      </c>
      <c r="M18" s="77">
        <f t="shared" si="6"/>
        <v>21000</v>
      </c>
      <c r="N18" s="77">
        <f t="shared" si="6"/>
        <v>21700</v>
      </c>
      <c r="O18" s="77">
        <f t="shared" si="6"/>
        <v>21700</v>
      </c>
      <c r="P18" s="77">
        <f t="shared" si="6"/>
        <v>19600</v>
      </c>
      <c r="Q18" s="77">
        <f t="shared" si="6"/>
        <v>21700</v>
      </c>
      <c r="R18" s="77">
        <f t="shared" si="6"/>
        <v>21000</v>
      </c>
      <c r="S18" s="77">
        <f t="shared" si="6"/>
        <v>21700</v>
      </c>
      <c r="T18" s="77">
        <f t="shared" si="6"/>
        <v>21000</v>
      </c>
      <c r="U18" s="77">
        <f t="shared" si="6"/>
        <v>21700</v>
      </c>
      <c r="V18" s="77">
        <f t="shared" si="6"/>
        <v>21700</v>
      </c>
      <c r="W18" s="77">
        <f t="shared" si="6"/>
        <v>21000</v>
      </c>
      <c r="X18" s="77">
        <f t="shared" si="6"/>
        <v>21700</v>
      </c>
      <c r="Y18" s="77">
        <f t="shared" si="6"/>
        <v>21000</v>
      </c>
      <c r="Z18" s="77">
        <f t="shared" si="6"/>
        <v>21700</v>
      </c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  <row r="19" spans="1:54">
      <c r="A19" s="71" t="s">
        <v>79</v>
      </c>
      <c r="B19" s="72">
        <v>2</v>
      </c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1:54">
      <c r="A20" s="71" t="s">
        <v>97</v>
      </c>
      <c r="B20" s="72">
        <v>350</v>
      </c>
      <c r="C20" s="77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</row>
    <row r="21" spans="1:54">
      <c r="A21" s="69" t="s">
        <v>100</v>
      </c>
      <c r="B21" s="74">
        <v>0.4</v>
      </c>
      <c r="C21" s="77">
        <f>$B$23*$B$22*C10*$B$21</f>
        <v>49600</v>
      </c>
      <c r="D21" s="77">
        <f t="shared" ref="D21:Z21" si="7">$B$23*$B$22*D10*$B$21</f>
        <v>44800</v>
      </c>
      <c r="E21" s="77">
        <f t="shared" si="7"/>
        <v>49600</v>
      </c>
      <c r="F21" s="77">
        <f t="shared" si="7"/>
        <v>48000</v>
      </c>
      <c r="G21" s="77">
        <f t="shared" si="7"/>
        <v>49600</v>
      </c>
      <c r="H21" s="77">
        <f t="shared" si="7"/>
        <v>48000</v>
      </c>
      <c r="I21" s="77">
        <f t="shared" si="7"/>
        <v>49600</v>
      </c>
      <c r="J21" s="77">
        <f t="shared" si="7"/>
        <v>49600</v>
      </c>
      <c r="K21" s="77">
        <f t="shared" si="7"/>
        <v>48000</v>
      </c>
      <c r="L21" s="77">
        <f t="shared" si="7"/>
        <v>49600</v>
      </c>
      <c r="M21" s="77">
        <f t="shared" si="7"/>
        <v>48000</v>
      </c>
      <c r="N21" s="77">
        <f t="shared" si="7"/>
        <v>49600</v>
      </c>
      <c r="O21" s="77">
        <f t="shared" si="7"/>
        <v>49600</v>
      </c>
      <c r="P21" s="77">
        <f t="shared" si="7"/>
        <v>44800</v>
      </c>
      <c r="Q21" s="77">
        <f t="shared" si="7"/>
        <v>49600</v>
      </c>
      <c r="R21" s="77">
        <f t="shared" si="7"/>
        <v>48000</v>
      </c>
      <c r="S21" s="77">
        <f t="shared" si="7"/>
        <v>49600</v>
      </c>
      <c r="T21" s="77">
        <f t="shared" si="7"/>
        <v>48000</v>
      </c>
      <c r="U21" s="77">
        <f t="shared" si="7"/>
        <v>49600</v>
      </c>
      <c r="V21" s="77">
        <f t="shared" si="7"/>
        <v>49600</v>
      </c>
      <c r="W21" s="77">
        <f t="shared" si="7"/>
        <v>48000</v>
      </c>
      <c r="X21" s="77">
        <f t="shared" si="7"/>
        <v>49600</v>
      </c>
      <c r="Y21" s="77">
        <f t="shared" si="7"/>
        <v>48000</v>
      </c>
      <c r="Z21" s="77">
        <f t="shared" si="7"/>
        <v>49600</v>
      </c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</row>
    <row r="22" spans="1:54">
      <c r="A22" s="71" t="s">
        <v>79</v>
      </c>
      <c r="B22" s="72">
        <v>2</v>
      </c>
      <c r="C22" s="7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</row>
    <row r="23" spans="1:54">
      <c r="A23" s="71" t="s">
        <v>97</v>
      </c>
      <c r="B23" s="73">
        <v>2000</v>
      </c>
      <c r="C23" s="80"/>
      <c r="D23" s="33"/>
      <c r="E23" s="33"/>
      <c r="F23" s="33"/>
      <c r="G23" s="33"/>
      <c r="H23" s="33"/>
      <c r="I23" s="33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7"/>
    </row>
    <row r="24" spans="1:54">
      <c r="A24" s="39" t="s">
        <v>22</v>
      </c>
      <c r="B24" s="40"/>
      <c r="C24" s="42">
        <f>C25+C31+C32+C34+C35+C36+C37+C38</f>
        <v>1053115.4519379844</v>
      </c>
      <c r="D24" s="42">
        <f t="shared" ref="D24:Z24" si="8">D25+D31+D32+D34+D35+D36+D37+D38</f>
        <v>1093129.0565891473</v>
      </c>
      <c r="E24" s="42">
        <f t="shared" si="8"/>
        <v>1015115.4519379844</v>
      </c>
      <c r="F24" s="42">
        <f t="shared" si="8"/>
        <v>979686.65348837199</v>
      </c>
      <c r="G24" s="42">
        <f t="shared" si="8"/>
        <v>1002915.4519379844</v>
      </c>
      <c r="H24" s="42">
        <f t="shared" si="8"/>
        <v>979686.65348837199</v>
      </c>
      <c r="I24" s="42">
        <f t="shared" si="8"/>
        <v>1002915.4519379844</v>
      </c>
      <c r="J24" s="42">
        <f t="shared" si="8"/>
        <v>1006615.4519379844</v>
      </c>
      <c r="K24" s="42">
        <f t="shared" si="8"/>
        <v>979686.65348837199</v>
      </c>
      <c r="L24" s="42">
        <f t="shared" si="8"/>
        <v>1002915.4519379844</v>
      </c>
      <c r="M24" s="42">
        <f t="shared" si="8"/>
        <v>979686.65348837199</v>
      </c>
      <c r="N24" s="42">
        <f t="shared" si="8"/>
        <v>1002915.4519379844</v>
      </c>
      <c r="O24" s="42">
        <f t="shared" si="8"/>
        <v>1006615.4519379844</v>
      </c>
      <c r="P24" s="42">
        <f t="shared" si="8"/>
        <v>925829.05658914731</v>
      </c>
      <c r="Q24" s="42">
        <f t="shared" si="8"/>
        <v>995515.45193798444</v>
      </c>
      <c r="R24" s="42">
        <f t="shared" si="8"/>
        <v>979686.65348837199</v>
      </c>
      <c r="S24" s="42">
        <f t="shared" si="8"/>
        <v>1002915.4519379844</v>
      </c>
      <c r="T24" s="42">
        <f t="shared" si="8"/>
        <v>979686.65348837199</v>
      </c>
      <c r="U24" s="42">
        <f t="shared" si="8"/>
        <v>1002915.4519379844</v>
      </c>
      <c r="V24" s="42">
        <f t="shared" si="8"/>
        <v>1006615.4519379844</v>
      </c>
      <c r="W24" s="42">
        <f t="shared" si="8"/>
        <v>979686.65348837199</v>
      </c>
      <c r="X24" s="42">
        <f t="shared" si="8"/>
        <v>1002915.4519379844</v>
      </c>
      <c r="Y24" s="42">
        <f t="shared" si="8"/>
        <v>979686.65348837199</v>
      </c>
      <c r="Z24" s="42">
        <f t="shared" si="8"/>
        <v>1002915.4519379844</v>
      </c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47"/>
    </row>
    <row r="25" spans="1:54">
      <c r="A25" s="1" t="s">
        <v>72</v>
      </c>
      <c r="B25" s="43"/>
      <c r="C25" s="33">
        <f t="shared" ref="C25:Z25" si="9">(C27+C28+C29+C30)*C26</f>
        <v>28122.7</v>
      </c>
      <c r="D25" s="33">
        <f t="shared" si="9"/>
        <v>164522.70000000001</v>
      </c>
      <c r="E25" s="33">
        <f t="shared" si="9"/>
        <v>151322.70000000001</v>
      </c>
      <c r="F25" s="33">
        <f t="shared" si="9"/>
        <v>142822.70000000001</v>
      </c>
      <c r="G25" s="33">
        <f t="shared" si="9"/>
        <v>139122.70000000001</v>
      </c>
      <c r="H25" s="33">
        <f t="shared" si="9"/>
        <v>142822.70000000001</v>
      </c>
      <c r="I25" s="33">
        <f t="shared" si="9"/>
        <v>139122.70000000001</v>
      </c>
      <c r="J25" s="33">
        <f t="shared" si="9"/>
        <v>142822.70000000001</v>
      </c>
      <c r="K25" s="33">
        <f t="shared" si="9"/>
        <v>142822.70000000001</v>
      </c>
      <c r="L25" s="33">
        <f t="shared" si="9"/>
        <v>139122.70000000001</v>
      </c>
      <c r="M25" s="33">
        <f t="shared" si="9"/>
        <v>142822.70000000001</v>
      </c>
      <c r="N25" s="33">
        <f t="shared" si="9"/>
        <v>139122.70000000001</v>
      </c>
      <c r="O25" s="33">
        <f t="shared" si="9"/>
        <v>142822.70000000001</v>
      </c>
      <c r="P25" s="33">
        <f t="shared" si="9"/>
        <v>142822.70000000001</v>
      </c>
      <c r="Q25" s="33">
        <f t="shared" si="9"/>
        <v>131722.70000000001</v>
      </c>
      <c r="R25" s="33">
        <f t="shared" si="9"/>
        <v>142822.70000000001</v>
      </c>
      <c r="S25" s="33">
        <f t="shared" si="9"/>
        <v>139122.70000000001</v>
      </c>
      <c r="T25" s="33">
        <f t="shared" si="9"/>
        <v>142822.70000000001</v>
      </c>
      <c r="U25" s="33">
        <f t="shared" si="9"/>
        <v>139122.70000000001</v>
      </c>
      <c r="V25" s="33">
        <f t="shared" si="9"/>
        <v>142822.70000000001</v>
      </c>
      <c r="W25" s="33">
        <f t="shared" si="9"/>
        <v>142822.70000000001</v>
      </c>
      <c r="X25" s="33">
        <f t="shared" si="9"/>
        <v>139122.70000000001</v>
      </c>
      <c r="Y25" s="33">
        <f t="shared" si="9"/>
        <v>142822.70000000001</v>
      </c>
      <c r="Z25" s="33">
        <f t="shared" si="9"/>
        <v>139122.70000000001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7"/>
    </row>
    <row r="26" spans="1:54">
      <c r="A26" s="1" t="s">
        <v>81</v>
      </c>
      <c r="B26" s="57">
        <v>2</v>
      </c>
      <c r="C26" s="33">
        <f>$B$26</f>
        <v>2</v>
      </c>
      <c r="D26" s="33">
        <f t="shared" ref="D26:Z26" si="10">$B$26</f>
        <v>2</v>
      </c>
      <c r="E26" s="33">
        <f t="shared" si="10"/>
        <v>2</v>
      </c>
      <c r="F26" s="33">
        <f t="shared" si="10"/>
        <v>2</v>
      </c>
      <c r="G26" s="33">
        <f t="shared" si="10"/>
        <v>2</v>
      </c>
      <c r="H26" s="33">
        <f t="shared" si="10"/>
        <v>2</v>
      </c>
      <c r="I26" s="33">
        <f t="shared" si="10"/>
        <v>2</v>
      </c>
      <c r="J26" s="33">
        <f t="shared" si="10"/>
        <v>2</v>
      </c>
      <c r="K26" s="33">
        <f t="shared" si="10"/>
        <v>2</v>
      </c>
      <c r="L26" s="33">
        <f t="shared" si="10"/>
        <v>2</v>
      </c>
      <c r="M26" s="33">
        <f t="shared" si="10"/>
        <v>2</v>
      </c>
      <c r="N26" s="33">
        <f t="shared" si="10"/>
        <v>2</v>
      </c>
      <c r="O26" s="33">
        <f t="shared" si="10"/>
        <v>2</v>
      </c>
      <c r="P26" s="33">
        <f t="shared" si="10"/>
        <v>2</v>
      </c>
      <c r="Q26" s="33">
        <f t="shared" si="10"/>
        <v>2</v>
      </c>
      <c r="R26" s="33">
        <f t="shared" si="10"/>
        <v>2</v>
      </c>
      <c r="S26" s="33">
        <f t="shared" si="10"/>
        <v>2</v>
      </c>
      <c r="T26" s="33">
        <f t="shared" si="10"/>
        <v>2</v>
      </c>
      <c r="U26" s="33">
        <f t="shared" si="10"/>
        <v>2</v>
      </c>
      <c r="V26" s="33">
        <f t="shared" si="10"/>
        <v>2</v>
      </c>
      <c r="W26" s="33">
        <f t="shared" si="10"/>
        <v>2</v>
      </c>
      <c r="X26" s="33">
        <f t="shared" si="10"/>
        <v>2</v>
      </c>
      <c r="Y26" s="33">
        <f t="shared" si="10"/>
        <v>2</v>
      </c>
      <c r="Z26" s="33">
        <f t="shared" si="10"/>
        <v>2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7"/>
    </row>
    <row r="27" spans="1:54">
      <c r="A27" s="1" t="s">
        <v>82</v>
      </c>
      <c r="B27" s="57">
        <v>10000</v>
      </c>
      <c r="C27" s="33">
        <f t="shared" ref="C27:Z27" si="11">$B$27</f>
        <v>10000</v>
      </c>
      <c r="D27" s="33">
        <f t="shared" si="11"/>
        <v>10000</v>
      </c>
      <c r="E27" s="33">
        <f t="shared" si="11"/>
        <v>10000</v>
      </c>
      <c r="F27" s="33">
        <f t="shared" si="11"/>
        <v>10000</v>
      </c>
      <c r="G27" s="33">
        <f t="shared" si="11"/>
        <v>10000</v>
      </c>
      <c r="H27" s="33">
        <f t="shared" si="11"/>
        <v>10000</v>
      </c>
      <c r="I27" s="33">
        <f t="shared" si="11"/>
        <v>10000</v>
      </c>
      <c r="J27" s="33">
        <f t="shared" si="11"/>
        <v>10000</v>
      </c>
      <c r="K27" s="33">
        <f t="shared" si="11"/>
        <v>10000</v>
      </c>
      <c r="L27" s="33">
        <f t="shared" si="11"/>
        <v>10000</v>
      </c>
      <c r="M27" s="33">
        <f t="shared" si="11"/>
        <v>10000</v>
      </c>
      <c r="N27" s="33">
        <f t="shared" si="11"/>
        <v>10000</v>
      </c>
      <c r="O27" s="33">
        <f t="shared" si="11"/>
        <v>10000</v>
      </c>
      <c r="P27" s="33">
        <f t="shared" si="11"/>
        <v>10000</v>
      </c>
      <c r="Q27" s="33">
        <f t="shared" si="11"/>
        <v>10000</v>
      </c>
      <c r="R27" s="33">
        <f t="shared" si="11"/>
        <v>10000</v>
      </c>
      <c r="S27" s="33">
        <f t="shared" si="11"/>
        <v>10000</v>
      </c>
      <c r="T27" s="33">
        <f t="shared" si="11"/>
        <v>10000</v>
      </c>
      <c r="U27" s="33">
        <f t="shared" si="11"/>
        <v>10000</v>
      </c>
      <c r="V27" s="33">
        <f t="shared" si="11"/>
        <v>10000</v>
      </c>
      <c r="W27" s="33">
        <f t="shared" si="11"/>
        <v>10000</v>
      </c>
      <c r="X27" s="33">
        <f t="shared" si="11"/>
        <v>10000</v>
      </c>
      <c r="Y27" s="33">
        <f t="shared" si="11"/>
        <v>10000</v>
      </c>
      <c r="Z27" s="33">
        <f t="shared" si="11"/>
        <v>10000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7"/>
    </row>
    <row r="28" spans="1:54" ht="27.6">
      <c r="A28" s="1" t="s">
        <v>83</v>
      </c>
      <c r="B28" s="60">
        <v>0.05</v>
      </c>
      <c r="C28" s="43">
        <v>0</v>
      </c>
      <c r="D28" s="43">
        <f>C6*$B$28</f>
        <v>68200</v>
      </c>
      <c r="E28" s="43">
        <f t="shared" ref="E28:Z28" si="12">D6*$B$28</f>
        <v>61600</v>
      </c>
      <c r="F28" s="43">
        <f t="shared" si="12"/>
        <v>57350</v>
      </c>
      <c r="G28" s="43">
        <f t="shared" si="12"/>
        <v>55500</v>
      </c>
      <c r="H28" s="43">
        <f t="shared" si="12"/>
        <v>57350</v>
      </c>
      <c r="I28" s="43">
        <f t="shared" si="12"/>
        <v>55500</v>
      </c>
      <c r="J28" s="43">
        <f t="shared" si="12"/>
        <v>57350</v>
      </c>
      <c r="K28" s="43">
        <f t="shared" si="12"/>
        <v>57350</v>
      </c>
      <c r="L28" s="43">
        <f t="shared" si="12"/>
        <v>55500</v>
      </c>
      <c r="M28" s="43">
        <f t="shared" si="12"/>
        <v>57350</v>
      </c>
      <c r="N28" s="43">
        <f t="shared" si="12"/>
        <v>55500</v>
      </c>
      <c r="O28" s="43">
        <f t="shared" si="12"/>
        <v>57350</v>
      </c>
      <c r="P28" s="43">
        <f t="shared" si="12"/>
        <v>57350</v>
      </c>
      <c r="Q28" s="43">
        <f t="shared" si="12"/>
        <v>51800</v>
      </c>
      <c r="R28" s="43">
        <f t="shared" si="12"/>
        <v>57350</v>
      </c>
      <c r="S28" s="43">
        <f t="shared" si="12"/>
        <v>55500</v>
      </c>
      <c r="T28" s="43">
        <f t="shared" si="12"/>
        <v>57350</v>
      </c>
      <c r="U28" s="43">
        <f t="shared" si="12"/>
        <v>55500</v>
      </c>
      <c r="V28" s="43">
        <f t="shared" si="12"/>
        <v>57350</v>
      </c>
      <c r="W28" s="43">
        <f t="shared" si="12"/>
        <v>57350</v>
      </c>
      <c r="X28" s="43">
        <f t="shared" si="12"/>
        <v>55500</v>
      </c>
      <c r="Y28" s="43">
        <f t="shared" si="12"/>
        <v>57350</v>
      </c>
      <c r="Z28" s="43">
        <f t="shared" si="12"/>
        <v>55500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7"/>
    </row>
    <row r="29" spans="1:54">
      <c r="A29" s="1" t="s">
        <v>92</v>
      </c>
      <c r="B29" s="60">
        <v>0.3</v>
      </c>
      <c r="C29" s="33">
        <f t="shared" ref="C29:Z29" si="13">$B$46*$B$29</f>
        <v>2833.5</v>
      </c>
      <c r="D29" s="33">
        <f t="shared" si="13"/>
        <v>2833.5</v>
      </c>
      <c r="E29" s="33">
        <f t="shared" si="13"/>
        <v>2833.5</v>
      </c>
      <c r="F29" s="33">
        <f t="shared" si="13"/>
        <v>2833.5</v>
      </c>
      <c r="G29" s="33">
        <f t="shared" si="13"/>
        <v>2833.5</v>
      </c>
      <c r="H29" s="33">
        <f t="shared" si="13"/>
        <v>2833.5</v>
      </c>
      <c r="I29" s="33">
        <f t="shared" si="13"/>
        <v>2833.5</v>
      </c>
      <c r="J29" s="33">
        <f t="shared" si="13"/>
        <v>2833.5</v>
      </c>
      <c r="K29" s="33">
        <f t="shared" si="13"/>
        <v>2833.5</v>
      </c>
      <c r="L29" s="33">
        <f t="shared" si="13"/>
        <v>2833.5</v>
      </c>
      <c r="M29" s="33">
        <f t="shared" si="13"/>
        <v>2833.5</v>
      </c>
      <c r="N29" s="33">
        <f t="shared" si="13"/>
        <v>2833.5</v>
      </c>
      <c r="O29" s="33">
        <f t="shared" si="13"/>
        <v>2833.5</v>
      </c>
      <c r="P29" s="33">
        <f t="shared" si="13"/>
        <v>2833.5</v>
      </c>
      <c r="Q29" s="33">
        <f t="shared" si="13"/>
        <v>2833.5</v>
      </c>
      <c r="R29" s="33">
        <f t="shared" si="13"/>
        <v>2833.5</v>
      </c>
      <c r="S29" s="33">
        <f t="shared" si="13"/>
        <v>2833.5</v>
      </c>
      <c r="T29" s="33">
        <f t="shared" si="13"/>
        <v>2833.5</v>
      </c>
      <c r="U29" s="33">
        <f t="shared" si="13"/>
        <v>2833.5</v>
      </c>
      <c r="V29" s="33">
        <f t="shared" si="13"/>
        <v>2833.5</v>
      </c>
      <c r="W29" s="33">
        <f t="shared" si="13"/>
        <v>2833.5</v>
      </c>
      <c r="X29" s="33">
        <f t="shared" si="13"/>
        <v>2833.5</v>
      </c>
      <c r="Y29" s="33">
        <f t="shared" si="13"/>
        <v>2833.5</v>
      </c>
      <c r="Z29" s="33">
        <f t="shared" si="13"/>
        <v>2833.5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7"/>
    </row>
    <row r="30" spans="1:54">
      <c r="A30" s="1" t="s">
        <v>71</v>
      </c>
      <c r="B30" s="60">
        <v>0.13</v>
      </c>
      <c r="C30" s="33">
        <f t="shared" ref="C30:Z30" si="14">$B$46*$B$30</f>
        <v>1227.8500000000001</v>
      </c>
      <c r="D30" s="33">
        <f t="shared" si="14"/>
        <v>1227.8500000000001</v>
      </c>
      <c r="E30" s="33">
        <f t="shared" si="14"/>
        <v>1227.8500000000001</v>
      </c>
      <c r="F30" s="33">
        <f t="shared" si="14"/>
        <v>1227.8500000000001</v>
      </c>
      <c r="G30" s="33">
        <f t="shared" si="14"/>
        <v>1227.8500000000001</v>
      </c>
      <c r="H30" s="33">
        <f t="shared" si="14"/>
        <v>1227.8500000000001</v>
      </c>
      <c r="I30" s="33">
        <f t="shared" si="14"/>
        <v>1227.8500000000001</v>
      </c>
      <c r="J30" s="33">
        <f t="shared" si="14"/>
        <v>1227.8500000000001</v>
      </c>
      <c r="K30" s="33">
        <f t="shared" si="14"/>
        <v>1227.8500000000001</v>
      </c>
      <c r="L30" s="33">
        <f t="shared" si="14"/>
        <v>1227.8500000000001</v>
      </c>
      <c r="M30" s="33">
        <f t="shared" si="14"/>
        <v>1227.8500000000001</v>
      </c>
      <c r="N30" s="33">
        <f t="shared" si="14"/>
        <v>1227.8500000000001</v>
      </c>
      <c r="O30" s="33">
        <f t="shared" si="14"/>
        <v>1227.8500000000001</v>
      </c>
      <c r="P30" s="33">
        <f t="shared" si="14"/>
        <v>1227.8500000000001</v>
      </c>
      <c r="Q30" s="33">
        <f t="shared" si="14"/>
        <v>1227.8500000000001</v>
      </c>
      <c r="R30" s="33">
        <f t="shared" si="14"/>
        <v>1227.8500000000001</v>
      </c>
      <c r="S30" s="33">
        <f t="shared" si="14"/>
        <v>1227.8500000000001</v>
      </c>
      <c r="T30" s="33">
        <f t="shared" si="14"/>
        <v>1227.8500000000001</v>
      </c>
      <c r="U30" s="33">
        <f t="shared" si="14"/>
        <v>1227.8500000000001</v>
      </c>
      <c r="V30" s="33">
        <f t="shared" si="14"/>
        <v>1227.8500000000001</v>
      </c>
      <c r="W30" s="33">
        <f t="shared" si="14"/>
        <v>1227.8500000000001</v>
      </c>
      <c r="X30" s="33">
        <f t="shared" si="14"/>
        <v>1227.8500000000001</v>
      </c>
      <c r="Y30" s="33">
        <f t="shared" si="14"/>
        <v>1227.8500000000001</v>
      </c>
      <c r="Z30" s="33">
        <f t="shared" si="14"/>
        <v>1227.8500000000001</v>
      </c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7"/>
    </row>
    <row r="31" spans="1:54" ht="27.6">
      <c r="A31" s="1" t="s">
        <v>77</v>
      </c>
      <c r="B31" s="83"/>
      <c r="C31" s="82">
        <f>(C7*'Расчет наценки'!$F2)+(C12*'Расчет наценки'!$F8)+(C15*'Расчет наценки'!$F7)+(реалистичный!C18*'Расчет наценки'!$F5)+(реалистичный!C21*'Расчет наценки'!$F9)</f>
        <v>995992.75193798449</v>
      </c>
      <c r="D31" s="82">
        <f>(D7*'Расчет наценки'!$F2)+(D12*'Расчет наценки'!$F8)+(D15*'Расчет наценки'!$F7)+(реалистичный!D18*'Расчет наценки'!$F5)+(реалистичный!D21*'Расчет наценки'!$F9)</f>
        <v>899606.35658914724</v>
      </c>
      <c r="E31" s="82">
        <f>(E7*'Расчет наценки'!$F2)+(E12*'Расчет наценки'!$F8)+(E15*'Расчет наценки'!$F7)+(реалистичный!E18*'Расчет наценки'!$F5)+(реалистичный!E21*'Расчет наценки'!$F9)</f>
        <v>834792.75193798449</v>
      </c>
      <c r="F31" s="82">
        <f>(F7*'Расчет наценки'!$F2)+(F12*'Расчет наценки'!$F8)+(F15*'Расчет наценки'!$F7)+(реалистичный!F18*'Расчет наценки'!$F5)+(реалистичный!F21*'Расчет наценки'!$F9)</f>
        <v>807863.95348837203</v>
      </c>
      <c r="G31" s="82">
        <f>(G7*'Расчет наценки'!$F2)+(G12*'Расчет наценки'!$F8)+(G15*'Расчет наценки'!$F7)+(реалистичный!G18*'Расчет наценки'!$F5)+(реалистичный!G21*'Расчет наценки'!$F9)</f>
        <v>834792.75193798449</v>
      </c>
      <c r="H31" s="82">
        <f>(H7*'Расчет наценки'!$F2)+(H12*'Расчет наценки'!$F8)+(H15*'Расчет наценки'!$F7)+(реалистичный!H18*'Расчет наценки'!$F5)+(реалистичный!H21*'Расчет наценки'!$F9)</f>
        <v>807863.95348837203</v>
      </c>
      <c r="I31" s="82">
        <f>(I7*'Расчет наценки'!$F2)+(I12*'Расчет наценки'!$F8)+(I15*'Расчет наценки'!$F7)+(реалистичный!I18*'Расчет наценки'!$F5)+(реалистичный!I21*'Расчет наценки'!$F9)</f>
        <v>834792.75193798449</v>
      </c>
      <c r="J31" s="82">
        <f>(J7*'Расчет наценки'!$F2)+(J12*'Расчет наценки'!$F8)+(J15*'Расчет наценки'!$F7)+(реалистичный!J18*'Расчет наценки'!$F5)+(реалистичный!J21*'Расчет наценки'!$F9)</f>
        <v>834792.75193798449</v>
      </c>
      <c r="K31" s="82">
        <f>(K7*'Расчет наценки'!$F2)+(K12*'Расчет наценки'!$F8)+(K15*'Расчет наценки'!$F7)+(реалистичный!K18*'Расчет наценки'!$F5)+(реалистичный!K21*'Расчет наценки'!$F9)</f>
        <v>807863.95348837203</v>
      </c>
      <c r="L31" s="82">
        <f>(L7*'Расчет наценки'!$F2)+(L12*'Расчет наценки'!$F8)+(L15*'Расчет наценки'!$F7)+(реалистичный!L18*'Расчет наценки'!$F5)+(реалистичный!L21*'Расчет наценки'!$F9)</f>
        <v>834792.75193798449</v>
      </c>
      <c r="M31" s="82">
        <f>(M7*'Расчет наценки'!$F2)+(M12*'Расчет наценки'!$F8)+(M15*'Расчет наценки'!$F7)+(реалистичный!M18*'Расчет наценки'!$F5)+(реалистичный!M21*'Расчет наценки'!$F9)</f>
        <v>807863.95348837203</v>
      </c>
      <c r="N31" s="82">
        <f>(N7*'Расчет наценки'!$F2)+(N12*'Расчет наценки'!$F8)+(N15*'Расчет наценки'!$F7)+(реалистичный!N18*'Расчет наценки'!$F5)+(реалистичный!N21*'Расчет наценки'!$F9)</f>
        <v>834792.75193798449</v>
      </c>
      <c r="O31" s="82">
        <f>(O7*'Расчет наценки'!$F2)+(O12*'Расчет наценки'!$F8)+(O15*'Расчет наценки'!$F7)+(реалистичный!O18*'Расчет наценки'!$F5)+(реалистичный!O21*'Расчет наценки'!$F9)</f>
        <v>834792.75193798449</v>
      </c>
      <c r="P31" s="82">
        <f>(P7*'Расчет наценки'!$F2)+(P12*'Расчет наценки'!$F8)+(P15*'Расчет наценки'!$F7)+(реалистичный!P18*'Расчет наценки'!$F5)+(реалистичный!P21*'Расчет наценки'!$F9)</f>
        <v>754006.35658914724</v>
      </c>
      <c r="Q31" s="82">
        <f>(Q7*'Расчет наценки'!$F2)+(Q12*'Расчет наценки'!$F8)+(Q15*'Расчет наценки'!$F7)+(реалистичный!Q18*'Расчет наценки'!$F5)+(реалистичный!Q21*'Расчет наценки'!$F9)</f>
        <v>834792.75193798449</v>
      </c>
      <c r="R31" s="82">
        <f>(R7*'Расчет наценки'!$F2)+(R12*'Расчет наценки'!$F8)+(R15*'Расчет наценки'!$F7)+(реалистичный!R18*'Расчет наценки'!$F5)+(реалистичный!R21*'Расчет наценки'!$F9)</f>
        <v>807863.95348837203</v>
      </c>
      <c r="S31" s="82">
        <f>(S7*'Расчет наценки'!$F2)+(S12*'Расчет наценки'!$F8)+(S15*'Расчет наценки'!$F7)+(реалистичный!S18*'Расчет наценки'!$F5)+(реалистичный!S21*'Расчет наценки'!$F9)</f>
        <v>834792.75193798449</v>
      </c>
      <c r="T31" s="82">
        <f>(T7*'Расчет наценки'!$F2)+(T12*'Расчет наценки'!$F8)+(T15*'Расчет наценки'!$F7)+(реалистичный!T18*'Расчет наценки'!$F5)+(реалистичный!T21*'Расчет наценки'!$F9)</f>
        <v>807863.95348837203</v>
      </c>
      <c r="U31" s="82">
        <f>(U7*'Расчет наценки'!$F2)+(U12*'Расчет наценки'!$F8)+(U15*'Расчет наценки'!$F7)+(реалистичный!U18*'Расчет наценки'!$F5)+(реалистичный!U21*'Расчет наценки'!$F9)</f>
        <v>834792.75193798449</v>
      </c>
      <c r="V31" s="82">
        <f>(V7*'Расчет наценки'!$F2)+(V12*'Расчет наценки'!$F8)+(V15*'Расчет наценки'!$F7)+(реалистичный!V18*'Расчет наценки'!$F5)+(реалистичный!V21*'Расчет наценки'!$F9)</f>
        <v>834792.75193798449</v>
      </c>
      <c r="W31" s="82">
        <f>(W7*'Расчет наценки'!$F2)+(W12*'Расчет наценки'!$F8)+(W15*'Расчет наценки'!$F7)+(реалистичный!W18*'Расчет наценки'!$F5)+(реалистичный!W21*'Расчет наценки'!$F9)</f>
        <v>807863.95348837203</v>
      </c>
      <c r="X31" s="82">
        <f>(X7*'Расчет наценки'!$F2)+(X12*'Расчет наценки'!$F8)+(X15*'Расчет наценки'!$F7)+(реалистичный!X18*'Расчет наценки'!$F5)+(реалистичный!X21*'Расчет наценки'!$F9)</f>
        <v>834792.75193798449</v>
      </c>
      <c r="Y31" s="82">
        <f>(Y7*'Расчет наценки'!$F2)+(Y12*'Расчет наценки'!$F8)+(Y15*'Расчет наценки'!$F7)+(реалистичный!Y18*'Расчет наценки'!$F5)+(реалистичный!Y21*'Расчет наценки'!$F9)</f>
        <v>807863.95348837203</v>
      </c>
      <c r="Z31" s="82">
        <f>(Z7*'Расчет наценки'!$F2)+(Z12*'Расчет наценки'!$F8)+(Z15*'Расчет наценки'!$F7)+(реалистичный!Z18*'Расчет наценки'!$F5)+(реалистичный!Z21*'Расчет наценки'!$F9)</f>
        <v>834792.75193798449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7"/>
    </row>
    <row r="32" spans="1:54">
      <c r="A32" s="1" t="s">
        <v>73</v>
      </c>
      <c r="B32" s="57">
        <v>3</v>
      </c>
      <c r="C32" s="97">
        <f>B32*B33</f>
        <v>9000</v>
      </c>
      <c r="D32" s="97">
        <f t="shared" ref="D32:Z32" si="15">C32+C33</f>
        <v>9000</v>
      </c>
      <c r="E32" s="97">
        <f t="shared" si="15"/>
        <v>9000</v>
      </c>
      <c r="F32" s="97">
        <f t="shared" si="15"/>
        <v>9000</v>
      </c>
      <c r="G32" s="97">
        <f t="shared" si="15"/>
        <v>9000</v>
      </c>
      <c r="H32" s="97">
        <f t="shared" si="15"/>
        <v>9000</v>
      </c>
      <c r="I32" s="97">
        <f t="shared" si="15"/>
        <v>9000</v>
      </c>
      <c r="J32" s="97">
        <f t="shared" si="15"/>
        <v>9000</v>
      </c>
      <c r="K32" s="97">
        <f t="shared" si="15"/>
        <v>9000</v>
      </c>
      <c r="L32" s="97">
        <f t="shared" si="15"/>
        <v>9000</v>
      </c>
      <c r="M32" s="97">
        <f t="shared" si="15"/>
        <v>9000</v>
      </c>
      <c r="N32" s="97">
        <f t="shared" si="15"/>
        <v>9000</v>
      </c>
      <c r="O32" s="97">
        <f t="shared" si="15"/>
        <v>9000</v>
      </c>
      <c r="P32" s="97">
        <f t="shared" si="15"/>
        <v>9000</v>
      </c>
      <c r="Q32" s="97">
        <f t="shared" si="15"/>
        <v>9000</v>
      </c>
      <c r="R32" s="97">
        <f t="shared" si="15"/>
        <v>9000</v>
      </c>
      <c r="S32" s="97">
        <f t="shared" si="15"/>
        <v>9000</v>
      </c>
      <c r="T32" s="97">
        <f t="shared" si="15"/>
        <v>9000</v>
      </c>
      <c r="U32" s="97">
        <f t="shared" si="15"/>
        <v>9000</v>
      </c>
      <c r="V32" s="97">
        <f t="shared" si="15"/>
        <v>9000</v>
      </c>
      <c r="W32" s="97">
        <f t="shared" si="15"/>
        <v>9000</v>
      </c>
      <c r="X32" s="97">
        <f t="shared" si="15"/>
        <v>9000</v>
      </c>
      <c r="Y32" s="97">
        <f t="shared" si="15"/>
        <v>9000</v>
      </c>
      <c r="Z32" s="97">
        <f t="shared" si="15"/>
        <v>9000</v>
      </c>
      <c r="AA32" s="9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7"/>
    </row>
    <row r="33" spans="1:54">
      <c r="A33" s="1" t="s">
        <v>74</v>
      </c>
      <c r="B33" s="57">
        <v>3000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100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7"/>
    </row>
    <row r="34" spans="1:54">
      <c r="A34" s="1" t="s">
        <v>67</v>
      </c>
      <c r="B34" s="57">
        <v>1000</v>
      </c>
      <c r="C34" s="43">
        <f>$B$34</f>
        <v>1000</v>
      </c>
      <c r="D34" s="43">
        <f t="shared" ref="D34:Z34" si="16">$B$34</f>
        <v>1000</v>
      </c>
      <c r="E34" s="43">
        <f t="shared" si="16"/>
        <v>1000</v>
      </c>
      <c r="F34" s="43">
        <f t="shared" si="16"/>
        <v>1000</v>
      </c>
      <c r="G34" s="43">
        <f t="shared" si="16"/>
        <v>1000</v>
      </c>
      <c r="H34" s="43">
        <f t="shared" si="16"/>
        <v>1000</v>
      </c>
      <c r="I34" s="43">
        <f t="shared" si="16"/>
        <v>1000</v>
      </c>
      <c r="J34" s="43">
        <f t="shared" si="16"/>
        <v>1000</v>
      </c>
      <c r="K34" s="43">
        <f t="shared" si="16"/>
        <v>1000</v>
      </c>
      <c r="L34" s="43">
        <f t="shared" si="16"/>
        <v>1000</v>
      </c>
      <c r="M34" s="43">
        <f t="shared" si="16"/>
        <v>1000</v>
      </c>
      <c r="N34" s="43">
        <f t="shared" si="16"/>
        <v>1000</v>
      </c>
      <c r="O34" s="43">
        <f t="shared" si="16"/>
        <v>1000</v>
      </c>
      <c r="P34" s="43">
        <f t="shared" si="16"/>
        <v>1000</v>
      </c>
      <c r="Q34" s="43">
        <f t="shared" si="16"/>
        <v>1000</v>
      </c>
      <c r="R34" s="43">
        <f t="shared" si="16"/>
        <v>1000</v>
      </c>
      <c r="S34" s="43">
        <f t="shared" si="16"/>
        <v>1000</v>
      </c>
      <c r="T34" s="43">
        <f t="shared" si="16"/>
        <v>1000</v>
      </c>
      <c r="U34" s="43">
        <f t="shared" si="16"/>
        <v>1000</v>
      </c>
      <c r="V34" s="43">
        <f t="shared" si="16"/>
        <v>1000</v>
      </c>
      <c r="W34" s="43">
        <f t="shared" si="16"/>
        <v>1000</v>
      </c>
      <c r="X34" s="43">
        <f t="shared" si="16"/>
        <v>1000</v>
      </c>
      <c r="Y34" s="43">
        <f t="shared" si="16"/>
        <v>1000</v>
      </c>
      <c r="Z34" s="43">
        <f t="shared" si="16"/>
        <v>1000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7"/>
    </row>
    <row r="35" spans="1:54">
      <c r="A35" s="1" t="s">
        <v>64</v>
      </c>
      <c r="B35" s="62">
        <v>0</v>
      </c>
      <c r="C35" s="33">
        <v>0</v>
      </c>
      <c r="D35" s="33">
        <v>0</v>
      </c>
      <c r="E35" s="33">
        <f t="shared" ref="E35" si="17">$B$35</f>
        <v>0</v>
      </c>
      <c r="F35" s="33">
        <f t="shared" ref="F35:Z35" si="18">$B$35*E39</f>
        <v>0</v>
      </c>
      <c r="G35" s="33">
        <f t="shared" si="18"/>
        <v>0</v>
      </c>
      <c r="H35" s="33">
        <f t="shared" si="18"/>
        <v>0</v>
      </c>
      <c r="I35" s="33">
        <f t="shared" si="18"/>
        <v>0</v>
      </c>
      <c r="J35" s="33">
        <f t="shared" si="18"/>
        <v>0</v>
      </c>
      <c r="K35" s="33">
        <f t="shared" si="18"/>
        <v>0</v>
      </c>
      <c r="L35" s="33">
        <f t="shared" si="18"/>
        <v>0</v>
      </c>
      <c r="M35" s="33">
        <f t="shared" si="18"/>
        <v>0</v>
      </c>
      <c r="N35" s="33">
        <f t="shared" si="18"/>
        <v>0</v>
      </c>
      <c r="O35" s="33">
        <f t="shared" si="18"/>
        <v>0</v>
      </c>
      <c r="P35" s="33">
        <f t="shared" si="18"/>
        <v>0</v>
      </c>
      <c r="Q35" s="33">
        <f t="shared" si="18"/>
        <v>0</v>
      </c>
      <c r="R35" s="33">
        <f t="shared" si="18"/>
        <v>0</v>
      </c>
      <c r="S35" s="33">
        <f t="shared" si="18"/>
        <v>0</v>
      </c>
      <c r="T35" s="33">
        <f t="shared" si="18"/>
        <v>0</v>
      </c>
      <c r="U35" s="33">
        <f t="shared" si="18"/>
        <v>0</v>
      </c>
      <c r="V35" s="33">
        <f t="shared" si="18"/>
        <v>0</v>
      </c>
      <c r="W35" s="33">
        <f t="shared" si="18"/>
        <v>0</v>
      </c>
      <c r="X35" s="33">
        <f t="shared" si="18"/>
        <v>0</v>
      </c>
      <c r="Y35" s="33">
        <f t="shared" si="18"/>
        <v>0</v>
      </c>
      <c r="Z35" s="33">
        <f t="shared" si="18"/>
        <v>0</v>
      </c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7"/>
    </row>
    <row r="36" spans="1:54">
      <c r="A36" s="1" t="s">
        <v>68</v>
      </c>
      <c r="B36" s="56">
        <v>1000</v>
      </c>
      <c r="C36" s="43">
        <f>$B$36</f>
        <v>1000</v>
      </c>
      <c r="D36" s="43">
        <f t="shared" ref="D36:Z36" si="19">$B$36</f>
        <v>1000</v>
      </c>
      <c r="E36" s="43">
        <f t="shared" si="19"/>
        <v>1000</v>
      </c>
      <c r="F36" s="43">
        <f t="shared" si="19"/>
        <v>1000</v>
      </c>
      <c r="G36" s="43">
        <f t="shared" si="19"/>
        <v>1000</v>
      </c>
      <c r="H36" s="43">
        <f t="shared" si="19"/>
        <v>1000</v>
      </c>
      <c r="I36" s="43">
        <f t="shared" si="19"/>
        <v>1000</v>
      </c>
      <c r="J36" s="43">
        <f t="shared" si="19"/>
        <v>1000</v>
      </c>
      <c r="K36" s="43">
        <f t="shared" si="19"/>
        <v>1000</v>
      </c>
      <c r="L36" s="43">
        <f t="shared" si="19"/>
        <v>1000</v>
      </c>
      <c r="M36" s="43">
        <f t="shared" si="19"/>
        <v>1000</v>
      </c>
      <c r="N36" s="43">
        <f t="shared" si="19"/>
        <v>1000</v>
      </c>
      <c r="O36" s="43">
        <f t="shared" si="19"/>
        <v>1000</v>
      </c>
      <c r="P36" s="43">
        <f t="shared" si="19"/>
        <v>1000</v>
      </c>
      <c r="Q36" s="43">
        <f t="shared" si="19"/>
        <v>1000</v>
      </c>
      <c r="R36" s="43">
        <f t="shared" si="19"/>
        <v>1000</v>
      </c>
      <c r="S36" s="43">
        <f t="shared" si="19"/>
        <v>1000</v>
      </c>
      <c r="T36" s="43">
        <f t="shared" si="19"/>
        <v>1000</v>
      </c>
      <c r="U36" s="43">
        <f t="shared" si="19"/>
        <v>1000</v>
      </c>
      <c r="V36" s="43">
        <f t="shared" si="19"/>
        <v>1000</v>
      </c>
      <c r="W36" s="43">
        <f t="shared" si="19"/>
        <v>1000</v>
      </c>
      <c r="X36" s="43">
        <f t="shared" si="19"/>
        <v>1000</v>
      </c>
      <c r="Y36" s="43">
        <f t="shared" si="19"/>
        <v>1000</v>
      </c>
      <c r="Z36" s="43">
        <f t="shared" si="19"/>
        <v>1000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7"/>
    </row>
    <row r="37" spans="1:54">
      <c r="A37" s="1" t="s">
        <v>65</v>
      </c>
      <c r="B37" s="56">
        <f>10000</f>
        <v>10000</v>
      </c>
      <c r="C37" s="43">
        <f>$B$37</f>
        <v>10000</v>
      </c>
      <c r="D37" s="43">
        <f t="shared" ref="D37:Z37" si="20">$B$37</f>
        <v>10000</v>
      </c>
      <c r="E37" s="43">
        <f t="shared" si="20"/>
        <v>10000</v>
      </c>
      <c r="F37" s="43">
        <f t="shared" si="20"/>
        <v>10000</v>
      </c>
      <c r="G37" s="43">
        <f t="shared" si="20"/>
        <v>10000</v>
      </c>
      <c r="H37" s="43">
        <f t="shared" si="20"/>
        <v>10000</v>
      </c>
      <c r="I37" s="43">
        <f t="shared" si="20"/>
        <v>10000</v>
      </c>
      <c r="J37" s="43">
        <f t="shared" si="20"/>
        <v>10000</v>
      </c>
      <c r="K37" s="43">
        <f t="shared" si="20"/>
        <v>10000</v>
      </c>
      <c r="L37" s="43">
        <f t="shared" si="20"/>
        <v>10000</v>
      </c>
      <c r="M37" s="43">
        <f t="shared" si="20"/>
        <v>10000</v>
      </c>
      <c r="N37" s="43">
        <f t="shared" si="20"/>
        <v>10000</v>
      </c>
      <c r="O37" s="43">
        <f t="shared" si="20"/>
        <v>10000</v>
      </c>
      <c r="P37" s="43">
        <f t="shared" si="20"/>
        <v>10000</v>
      </c>
      <c r="Q37" s="43">
        <f t="shared" si="20"/>
        <v>10000</v>
      </c>
      <c r="R37" s="43">
        <f t="shared" si="20"/>
        <v>10000</v>
      </c>
      <c r="S37" s="43">
        <f t="shared" si="20"/>
        <v>10000</v>
      </c>
      <c r="T37" s="43">
        <f t="shared" si="20"/>
        <v>10000</v>
      </c>
      <c r="U37" s="43">
        <f t="shared" si="20"/>
        <v>10000</v>
      </c>
      <c r="V37" s="43">
        <f t="shared" si="20"/>
        <v>10000</v>
      </c>
      <c r="W37" s="43">
        <f t="shared" si="20"/>
        <v>10000</v>
      </c>
      <c r="X37" s="43">
        <f t="shared" si="20"/>
        <v>10000</v>
      </c>
      <c r="Y37" s="43">
        <f t="shared" si="20"/>
        <v>10000</v>
      </c>
      <c r="Z37" s="43">
        <f t="shared" si="20"/>
        <v>10000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7"/>
    </row>
    <row r="38" spans="1:54">
      <c r="A38" s="1" t="s">
        <v>70</v>
      </c>
      <c r="B38" s="57">
        <f>2000*4</f>
        <v>8000</v>
      </c>
      <c r="C38" s="43">
        <f>$B$38</f>
        <v>8000</v>
      </c>
      <c r="D38" s="43">
        <f t="shared" ref="D38:Z38" si="21">$B$38</f>
        <v>8000</v>
      </c>
      <c r="E38" s="43">
        <f t="shared" si="21"/>
        <v>8000</v>
      </c>
      <c r="F38" s="43">
        <f t="shared" si="21"/>
        <v>8000</v>
      </c>
      <c r="G38" s="43">
        <f t="shared" si="21"/>
        <v>8000</v>
      </c>
      <c r="H38" s="43">
        <f t="shared" si="21"/>
        <v>8000</v>
      </c>
      <c r="I38" s="43">
        <f t="shared" si="21"/>
        <v>8000</v>
      </c>
      <c r="J38" s="43">
        <f t="shared" si="21"/>
        <v>8000</v>
      </c>
      <c r="K38" s="43">
        <f t="shared" si="21"/>
        <v>8000</v>
      </c>
      <c r="L38" s="43">
        <f t="shared" si="21"/>
        <v>8000</v>
      </c>
      <c r="M38" s="43">
        <f t="shared" si="21"/>
        <v>8000</v>
      </c>
      <c r="N38" s="43">
        <f t="shared" si="21"/>
        <v>8000</v>
      </c>
      <c r="O38" s="43">
        <f t="shared" si="21"/>
        <v>8000</v>
      </c>
      <c r="P38" s="43">
        <f t="shared" si="21"/>
        <v>8000</v>
      </c>
      <c r="Q38" s="43">
        <f t="shared" si="21"/>
        <v>8000</v>
      </c>
      <c r="R38" s="43">
        <f t="shared" si="21"/>
        <v>8000</v>
      </c>
      <c r="S38" s="43">
        <f t="shared" si="21"/>
        <v>8000</v>
      </c>
      <c r="T38" s="43">
        <f t="shared" si="21"/>
        <v>8000</v>
      </c>
      <c r="U38" s="43">
        <f t="shared" si="21"/>
        <v>8000</v>
      </c>
      <c r="V38" s="43">
        <f t="shared" si="21"/>
        <v>8000</v>
      </c>
      <c r="W38" s="43">
        <f t="shared" si="21"/>
        <v>8000</v>
      </c>
      <c r="X38" s="43">
        <f t="shared" si="21"/>
        <v>8000</v>
      </c>
      <c r="Y38" s="43">
        <f t="shared" si="21"/>
        <v>8000</v>
      </c>
      <c r="Z38" s="43">
        <f t="shared" si="21"/>
        <v>8000</v>
      </c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7"/>
    </row>
    <row r="39" spans="1:54">
      <c r="A39" s="54" t="s">
        <v>84</v>
      </c>
      <c r="B39" s="61">
        <v>0.15</v>
      </c>
      <c r="C39" s="43">
        <v>0</v>
      </c>
      <c r="D39" s="43">
        <v>0</v>
      </c>
      <c r="E39" s="43">
        <f>B48*B49*B50*B51*B32*3*B39*50%</f>
        <v>2184.5700000000002</v>
      </c>
      <c r="F39" s="43">
        <v>0</v>
      </c>
      <c r="G39" s="43">
        <v>0</v>
      </c>
      <c r="H39" s="43">
        <f>E39</f>
        <v>2184.5700000000002</v>
      </c>
      <c r="I39" s="43">
        <v>0</v>
      </c>
      <c r="J39" s="43">
        <v>0</v>
      </c>
      <c r="K39" s="43">
        <f>H39</f>
        <v>2184.5700000000002</v>
      </c>
      <c r="L39" s="43">
        <v>0</v>
      </c>
      <c r="M39" s="43">
        <v>0</v>
      </c>
      <c r="N39" s="43">
        <f>E39</f>
        <v>2184.5700000000002</v>
      </c>
      <c r="O39" s="43">
        <v>0</v>
      </c>
      <c r="P39" s="43">
        <v>0</v>
      </c>
      <c r="Q39" s="43">
        <f>N39</f>
        <v>2184.5700000000002</v>
      </c>
      <c r="R39" s="43">
        <v>0</v>
      </c>
      <c r="S39" s="43">
        <v>0</v>
      </c>
      <c r="T39" s="43">
        <f>Q39</f>
        <v>2184.5700000000002</v>
      </c>
      <c r="U39" s="43">
        <v>0</v>
      </c>
      <c r="V39" s="43">
        <v>0</v>
      </c>
      <c r="W39" s="43">
        <f>T39</f>
        <v>2184.5700000000002</v>
      </c>
      <c r="X39" s="43">
        <v>0</v>
      </c>
      <c r="Y39" s="43">
        <v>0</v>
      </c>
      <c r="Z39" s="43">
        <f>W39</f>
        <v>2184.5700000000002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7"/>
    </row>
    <row r="40" spans="1:54">
      <c r="A40" s="54" t="s">
        <v>85</v>
      </c>
      <c r="B40" s="59">
        <v>7.0000000000000007E-2</v>
      </c>
      <c r="C40" s="33">
        <f>IF(C39*$B$40&gt;=0,C39*$B$40,0)</f>
        <v>0</v>
      </c>
      <c r="D40" s="33">
        <f>IF(D39*$B$40&gt;=0,D39*$B$40,0)</f>
        <v>0</v>
      </c>
      <c r="E40" s="33">
        <f>IF((C6+D6+E6-C24-D24-E24)&gt;=0,(C6+D6+E6-C24-D24-E24)*$B$40,(C6+D6+E6)*1%)</f>
        <v>40714.802767441855</v>
      </c>
      <c r="F40" s="33">
        <v>0</v>
      </c>
      <c r="G40" s="33">
        <v>0</v>
      </c>
      <c r="H40" s="33">
        <f>IF((F6+G6+H6-F24-G24-H24)&gt;=0,(F6+G6+H6-F24-G24-H24)*$B$40,(F6+G6+H6)*1%)</f>
        <v>28329.786875969014</v>
      </c>
      <c r="I40" s="33">
        <v>0</v>
      </c>
      <c r="J40" s="33">
        <v>0</v>
      </c>
      <c r="K40" s="33">
        <f>IF((I6+J6+K6-I24-J24-K24)&gt;=0,(I6+J6+K6-I24-J24-K24)*$B$40,(I6+J6+K6)*1%)</f>
        <v>29034.770984496125</v>
      </c>
      <c r="L40" s="33">
        <v>0</v>
      </c>
      <c r="M40" s="33">
        <v>0</v>
      </c>
      <c r="N40" s="33">
        <f>IF((L6+M6+N6-L24-M24-N24)&gt;=0,(L6+M6+N6-L24-M24-N24)*$B$40,(L6+M6+N6)*1%)</f>
        <v>29293.770984496125</v>
      </c>
      <c r="O40" s="33">
        <v>0</v>
      </c>
      <c r="P40" s="33">
        <v>0</v>
      </c>
      <c r="Q40" s="33">
        <f>IF((O6+P6+Q6-O24-P24-Q24)&gt;=0,(O6+P6+Q6-O24-P24-Q24)*$B$40,(O6+P6+Q6)*1%)</f>
        <v>28142.802767441852</v>
      </c>
      <c r="R40" s="33">
        <v>0</v>
      </c>
      <c r="S40" s="33">
        <v>0</v>
      </c>
      <c r="T40" s="33">
        <f>IF((R6+S6+T6-R24-S24-T24)&gt;=0,(R6+S6+T6-R24-S24-T24)*$B$40,(R6+S6+T6)*1%)</f>
        <v>28329.786875969014</v>
      </c>
      <c r="U40" s="33">
        <v>0</v>
      </c>
      <c r="V40" s="33">
        <v>0</v>
      </c>
      <c r="W40" s="33">
        <f>IF((U6+V6+W6-U24-V24-W24)&gt;=0,(U6+V6+W6-U24-V24-W24)*$B$40,(U6+V6+W6)*1%)</f>
        <v>29034.770984496125</v>
      </c>
      <c r="X40" s="33">
        <v>0</v>
      </c>
      <c r="Y40" s="33">
        <v>0</v>
      </c>
      <c r="Z40" s="33">
        <f>IF((X6+Y6+Z6-X24-Y24-Z24)&gt;=0,(X6+Y6+Z6-X24-Y24-Z24)*$B$40,(X6+Y6+Z6)*1%)</f>
        <v>29293.770984496125</v>
      </c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7"/>
    </row>
    <row r="41" spans="1:54">
      <c r="A41" s="32" t="s">
        <v>94</v>
      </c>
      <c r="B41" s="52">
        <f>-B2</f>
        <v>-176000</v>
      </c>
      <c r="C41" s="36">
        <f>C6-C24-C39</f>
        <v>310884.54806201556</v>
      </c>
      <c r="D41" s="36">
        <f t="shared" ref="D41:Z41" si="22">D6-D24-D39</f>
        <v>138870.94341085269</v>
      </c>
      <c r="E41" s="36">
        <f t="shared" si="22"/>
        <v>129699.97806201555</v>
      </c>
      <c r="F41" s="36">
        <f t="shared" si="22"/>
        <v>130313.34651162801</v>
      </c>
      <c r="G41" s="36">
        <f t="shared" si="22"/>
        <v>144084.54806201556</v>
      </c>
      <c r="H41" s="36">
        <f t="shared" si="22"/>
        <v>128128.77651162801</v>
      </c>
      <c r="I41" s="36">
        <f t="shared" si="22"/>
        <v>144084.54806201556</v>
      </c>
      <c r="J41" s="36">
        <f t="shared" si="22"/>
        <v>140384.54806201556</v>
      </c>
      <c r="K41" s="36">
        <f t="shared" si="22"/>
        <v>128128.77651162801</v>
      </c>
      <c r="L41" s="36">
        <f t="shared" si="22"/>
        <v>144084.54806201556</v>
      </c>
      <c r="M41" s="36">
        <f t="shared" si="22"/>
        <v>130313.34651162801</v>
      </c>
      <c r="N41" s="36">
        <f t="shared" si="22"/>
        <v>141899.97806201555</v>
      </c>
      <c r="O41" s="36">
        <f t="shared" si="22"/>
        <v>140384.54806201556</v>
      </c>
      <c r="P41" s="36">
        <f t="shared" si="22"/>
        <v>110170.94341085269</v>
      </c>
      <c r="Q41" s="36">
        <f t="shared" si="22"/>
        <v>149299.97806201555</v>
      </c>
      <c r="R41" s="36">
        <f t="shared" si="22"/>
        <v>130313.34651162801</v>
      </c>
      <c r="S41" s="36">
        <f t="shared" si="22"/>
        <v>144084.54806201556</v>
      </c>
      <c r="T41" s="36">
        <f t="shared" si="22"/>
        <v>128128.77651162801</v>
      </c>
      <c r="U41" s="36">
        <f t="shared" si="22"/>
        <v>144084.54806201556</v>
      </c>
      <c r="V41" s="36">
        <f t="shared" si="22"/>
        <v>140384.54806201556</v>
      </c>
      <c r="W41" s="36">
        <f t="shared" si="22"/>
        <v>128128.77651162801</v>
      </c>
      <c r="X41" s="36">
        <f t="shared" si="22"/>
        <v>144084.54806201556</v>
      </c>
      <c r="Y41" s="36">
        <f t="shared" si="22"/>
        <v>130313.34651162801</v>
      </c>
      <c r="Z41" s="36">
        <f t="shared" si="22"/>
        <v>141899.97806201555</v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7"/>
    </row>
    <row r="42" spans="1:54">
      <c r="A42" s="1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8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7"/>
    </row>
    <row r="43" spans="1:54">
      <c r="A43" s="4" t="s">
        <v>69</v>
      </c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8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7"/>
    </row>
    <row r="44" spans="1:54">
      <c r="A44" s="32" t="s">
        <v>31</v>
      </c>
      <c r="B44" s="35">
        <f>-B2</f>
        <v>-176000</v>
      </c>
      <c r="C44" s="36">
        <f>B44+C41</f>
        <v>134884.54806201556</v>
      </c>
      <c r="D44" s="36">
        <f t="shared" ref="D44:Z44" si="23">C44+D41</f>
        <v>273755.49147286825</v>
      </c>
      <c r="E44" s="36">
        <f t="shared" si="23"/>
        <v>403455.4695348838</v>
      </c>
      <c r="F44" s="36">
        <f t="shared" si="23"/>
        <v>533768.81604651175</v>
      </c>
      <c r="G44" s="36">
        <f t="shared" si="23"/>
        <v>677853.36410852731</v>
      </c>
      <c r="H44" s="36">
        <f t="shared" si="23"/>
        <v>805982.14062015526</v>
      </c>
      <c r="I44" s="36">
        <f t="shared" si="23"/>
        <v>950066.68868217082</v>
      </c>
      <c r="J44" s="36">
        <f t="shared" si="23"/>
        <v>1090451.2367441864</v>
      </c>
      <c r="K44" s="36">
        <f t="shared" si="23"/>
        <v>1218580.0132558143</v>
      </c>
      <c r="L44" s="36">
        <f t="shared" si="23"/>
        <v>1362664.5613178299</v>
      </c>
      <c r="M44" s="36">
        <f t="shared" si="23"/>
        <v>1492977.9078294579</v>
      </c>
      <c r="N44" s="36">
        <f t="shared" si="23"/>
        <v>1634877.8858914734</v>
      </c>
      <c r="O44" s="36">
        <f t="shared" si="23"/>
        <v>1775262.4339534889</v>
      </c>
      <c r="P44" s="36">
        <f t="shared" si="23"/>
        <v>1885433.3773643416</v>
      </c>
      <c r="Q44" s="36">
        <f t="shared" si="23"/>
        <v>2034733.3554263571</v>
      </c>
      <c r="R44" s="36">
        <f t="shared" si="23"/>
        <v>2165046.7019379851</v>
      </c>
      <c r="S44" s="36">
        <f t="shared" si="23"/>
        <v>2309131.2500000009</v>
      </c>
      <c r="T44" s="36">
        <f t="shared" si="23"/>
        <v>2437260.0265116291</v>
      </c>
      <c r="U44" s="36">
        <f t="shared" si="23"/>
        <v>2581344.5745736444</v>
      </c>
      <c r="V44" s="36">
        <f t="shared" si="23"/>
        <v>2721729.1226356598</v>
      </c>
      <c r="W44" s="36">
        <f t="shared" si="23"/>
        <v>2849857.8991472879</v>
      </c>
      <c r="X44" s="36">
        <f t="shared" si="23"/>
        <v>2993942.4472093033</v>
      </c>
      <c r="Y44" s="36">
        <f t="shared" si="23"/>
        <v>3124255.7937209313</v>
      </c>
      <c r="Z44" s="36">
        <f t="shared" si="23"/>
        <v>3266155.7717829468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7"/>
    </row>
    <row r="45" spans="1:54">
      <c r="A45" s="4" t="s">
        <v>90</v>
      </c>
      <c r="B45" s="2"/>
      <c r="K45" s="53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</row>
    <row r="46" spans="1:54">
      <c r="A46" s="1" t="s">
        <v>91</v>
      </c>
      <c r="B46" s="68">
        <v>9445</v>
      </c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</row>
    <row r="47" spans="1:54" hidden="1">
      <c r="A47" s="67" t="s">
        <v>50</v>
      </c>
      <c r="B47" s="68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</row>
    <row r="48" spans="1:54">
      <c r="A48" s="1" t="s">
        <v>86</v>
      </c>
      <c r="B48" s="62">
        <v>1800</v>
      </c>
      <c r="C48" s="51"/>
      <c r="D48" s="51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</row>
    <row r="49" spans="1:54">
      <c r="A49" s="1" t="s">
        <v>88</v>
      </c>
      <c r="B49" s="66">
        <v>1</v>
      </c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</row>
    <row r="50" spans="1:54">
      <c r="A50" s="1" t="s">
        <v>87</v>
      </c>
      <c r="B50" s="66">
        <v>1.798</v>
      </c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</row>
    <row r="51" spans="1:54">
      <c r="A51" s="1" t="s">
        <v>89</v>
      </c>
      <c r="B51" s="62">
        <v>1</v>
      </c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</row>
    <row r="52" spans="1:54"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</row>
    <row r="53" spans="1:54"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</row>
    <row r="54" spans="1:54"/>
    <row r="55" spans="1:54"/>
    <row r="56" spans="1:54"/>
    <row r="57" spans="1:54"/>
    <row r="58" spans="1:54"/>
    <row r="59" spans="1:54"/>
    <row r="60" spans="1:54"/>
    <row r="61" spans="1:54"/>
    <row r="62" spans="1:54"/>
    <row r="63" spans="1:54"/>
    <row r="64" spans="1:5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mergeCells count="25">
    <mergeCell ref="AA32:AA33"/>
    <mergeCell ref="U32:U33"/>
    <mergeCell ref="V32:V33"/>
    <mergeCell ref="W32:W33"/>
    <mergeCell ref="X32:X33"/>
    <mergeCell ref="Y32:Y33"/>
    <mergeCell ref="Z32:Z33"/>
    <mergeCell ref="T32:T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H32:H33"/>
    <mergeCell ref="C32:C33"/>
    <mergeCell ref="D32:D33"/>
    <mergeCell ref="E32:E33"/>
    <mergeCell ref="F32:F33"/>
    <mergeCell ref="G32:G33"/>
  </mergeCells>
  <pageMargins left="0.75" right="0.75" top="1" bottom="1" header="0.5" footer="0.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97"/>
  <sheetViews>
    <sheetView zoomScale="85" zoomScaleNormal="85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C16" sqref="C16"/>
    </sheetView>
  </sheetViews>
  <sheetFormatPr defaultColWidth="0" defaultRowHeight="13.8" zeroHeight="1"/>
  <cols>
    <col min="1" max="1" width="49.6640625" style="5" bestFit="1" customWidth="1"/>
    <col min="2" max="2" width="14.109375" style="6" customWidth="1"/>
    <col min="3" max="3" width="15.33203125" style="7" customWidth="1"/>
    <col min="4" max="4" width="14.109375" style="7" customWidth="1"/>
    <col min="5" max="5" width="14" style="7" customWidth="1"/>
    <col min="6" max="6" width="13.6640625" style="7" customWidth="1"/>
    <col min="7" max="7" width="12.6640625" style="7" customWidth="1"/>
    <col min="8" max="8" width="13" style="7" customWidth="1"/>
    <col min="9" max="9" width="12.5546875" style="7" customWidth="1"/>
    <col min="10" max="10" width="13.88671875" customWidth="1"/>
    <col min="11" max="11" width="13.6640625" customWidth="1"/>
    <col min="12" max="13" width="14.44140625" customWidth="1"/>
    <col min="14" max="53" width="13.6640625" customWidth="1"/>
    <col min="54" max="54" width="20.44140625" customWidth="1"/>
  </cols>
  <sheetData>
    <row r="1" spans="1:54" s="31" customFormat="1" ht="41.4">
      <c r="A1" s="58" t="s">
        <v>75</v>
      </c>
      <c r="B1" s="30"/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0" t="s">
        <v>5</v>
      </c>
      <c r="I1" s="30" t="s">
        <v>6</v>
      </c>
      <c r="J1" s="30" t="s">
        <v>9</v>
      </c>
      <c r="K1" s="30" t="s">
        <v>10</v>
      </c>
      <c r="L1" s="30" t="s">
        <v>11</v>
      </c>
      <c r="M1" s="30" t="s">
        <v>12</v>
      </c>
      <c r="N1" s="37" t="s">
        <v>13</v>
      </c>
      <c r="O1" s="30" t="s">
        <v>51</v>
      </c>
      <c r="P1" s="30" t="s">
        <v>52</v>
      </c>
      <c r="Q1" s="30" t="s">
        <v>53</v>
      </c>
      <c r="R1" s="30" t="s">
        <v>54</v>
      </c>
      <c r="S1" s="30" t="s">
        <v>55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6"/>
    </row>
    <row r="2" spans="1:54">
      <c r="A2" s="39" t="s">
        <v>14</v>
      </c>
      <c r="B2" s="40">
        <f>SUM(B3:B5)</f>
        <v>176000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7"/>
    </row>
    <row r="3" spans="1:54">
      <c r="A3" s="1" t="s">
        <v>76</v>
      </c>
      <c r="B3" s="56">
        <f>1000+20000</f>
        <v>21000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7"/>
    </row>
    <row r="4" spans="1:54">
      <c r="A4" s="1" t="s">
        <v>63</v>
      </c>
      <c r="B4" s="56">
        <f>150000</f>
        <v>150000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7"/>
    </row>
    <row r="5" spans="1:54">
      <c r="A5" s="1" t="s">
        <v>66</v>
      </c>
      <c r="B5" s="56">
        <v>5000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7"/>
    </row>
    <row r="6" spans="1:54">
      <c r="A6" s="39" t="s">
        <v>20</v>
      </c>
      <c r="B6" s="40">
        <v>0</v>
      </c>
      <c r="C6" s="41">
        <f>C7+C11</f>
        <v>2371500</v>
      </c>
      <c r="D6" s="41">
        <f t="shared" ref="D6:Z6" si="0">D7+D11</f>
        <v>2142000</v>
      </c>
      <c r="E6" s="41">
        <f t="shared" si="0"/>
        <v>2154500</v>
      </c>
      <c r="F6" s="41">
        <f t="shared" si="0"/>
        <v>2085000</v>
      </c>
      <c r="G6" s="41">
        <f t="shared" si="0"/>
        <v>2154500</v>
      </c>
      <c r="H6" s="41">
        <f t="shared" si="0"/>
        <v>2085000</v>
      </c>
      <c r="I6" s="41">
        <f t="shared" si="0"/>
        <v>2154500</v>
      </c>
      <c r="J6" s="41">
        <f t="shared" si="0"/>
        <v>2154500</v>
      </c>
      <c r="K6" s="41">
        <f t="shared" si="0"/>
        <v>2085000</v>
      </c>
      <c r="L6" s="41">
        <f t="shared" si="0"/>
        <v>2154500</v>
      </c>
      <c r="M6" s="41">
        <f t="shared" si="0"/>
        <v>2085000</v>
      </c>
      <c r="N6" s="41">
        <f t="shared" si="0"/>
        <v>2154500</v>
      </c>
      <c r="O6" s="41">
        <f t="shared" si="0"/>
        <v>2154500</v>
      </c>
      <c r="P6" s="41">
        <f t="shared" si="0"/>
        <v>1946000</v>
      </c>
      <c r="Q6" s="41">
        <f t="shared" si="0"/>
        <v>2154500</v>
      </c>
      <c r="R6" s="41">
        <f t="shared" si="0"/>
        <v>2085000</v>
      </c>
      <c r="S6" s="41">
        <f t="shared" si="0"/>
        <v>2154500</v>
      </c>
      <c r="T6" s="41">
        <f t="shared" si="0"/>
        <v>2085000</v>
      </c>
      <c r="U6" s="41">
        <f t="shared" si="0"/>
        <v>2154500</v>
      </c>
      <c r="V6" s="41">
        <f t="shared" si="0"/>
        <v>2154500</v>
      </c>
      <c r="W6" s="41">
        <f t="shared" si="0"/>
        <v>2085000</v>
      </c>
      <c r="X6" s="41">
        <f t="shared" si="0"/>
        <v>2154500</v>
      </c>
      <c r="Y6" s="41">
        <f t="shared" si="0"/>
        <v>2085000</v>
      </c>
      <c r="Z6" s="41">
        <f t="shared" si="0"/>
        <v>2154500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1:54" s="91" customFormat="1">
      <c r="A7" s="64" t="s">
        <v>113</v>
      </c>
      <c r="B7" s="92"/>
      <c r="C7" s="75">
        <f>C8*C9*C10</f>
        <v>2015000</v>
      </c>
      <c r="D7" s="75">
        <f t="shared" ref="D7:Z7" si="1">D8*D9*D10</f>
        <v>1820000</v>
      </c>
      <c r="E7" s="75">
        <f t="shared" si="1"/>
        <v>2015000</v>
      </c>
      <c r="F7" s="75">
        <f t="shared" si="1"/>
        <v>1950000</v>
      </c>
      <c r="G7" s="75">
        <f t="shared" si="1"/>
        <v>2015000</v>
      </c>
      <c r="H7" s="75">
        <f t="shared" si="1"/>
        <v>1950000</v>
      </c>
      <c r="I7" s="75">
        <f t="shared" si="1"/>
        <v>2015000</v>
      </c>
      <c r="J7" s="75">
        <f t="shared" si="1"/>
        <v>2015000</v>
      </c>
      <c r="K7" s="75">
        <f t="shared" si="1"/>
        <v>1950000</v>
      </c>
      <c r="L7" s="75">
        <f t="shared" si="1"/>
        <v>2015000</v>
      </c>
      <c r="M7" s="75">
        <f t="shared" si="1"/>
        <v>1950000</v>
      </c>
      <c r="N7" s="75">
        <f t="shared" si="1"/>
        <v>2015000</v>
      </c>
      <c r="O7" s="75">
        <f t="shared" si="1"/>
        <v>2015000</v>
      </c>
      <c r="P7" s="75">
        <f t="shared" si="1"/>
        <v>1820000</v>
      </c>
      <c r="Q7" s="75">
        <f t="shared" si="1"/>
        <v>2015000</v>
      </c>
      <c r="R7" s="75">
        <f t="shared" si="1"/>
        <v>1950000</v>
      </c>
      <c r="S7" s="75">
        <f t="shared" si="1"/>
        <v>2015000</v>
      </c>
      <c r="T7" s="75">
        <f t="shared" si="1"/>
        <v>1950000</v>
      </c>
      <c r="U7" s="75">
        <f t="shared" si="1"/>
        <v>2015000</v>
      </c>
      <c r="V7" s="75">
        <f t="shared" si="1"/>
        <v>2015000</v>
      </c>
      <c r="W7" s="75">
        <f t="shared" si="1"/>
        <v>1950000</v>
      </c>
      <c r="X7" s="75">
        <f t="shared" si="1"/>
        <v>2015000</v>
      </c>
      <c r="Y7" s="75">
        <f t="shared" si="1"/>
        <v>1950000</v>
      </c>
      <c r="Z7" s="75">
        <f t="shared" si="1"/>
        <v>2015000</v>
      </c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</row>
    <row r="8" spans="1:54">
      <c r="A8" s="71" t="s">
        <v>78</v>
      </c>
      <c r="B8" s="56">
        <v>6500</v>
      </c>
      <c r="C8" s="75">
        <f>$B$8</f>
        <v>6500</v>
      </c>
      <c r="D8" s="75">
        <f t="shared" ref="D8:Z8" si="2">$B$8</f>
        <v>6500</v>
      </c>
      <c r="E8" s="75">
        <f t="shared" si="2"/>
        <v>6500</v>
      </c>
      <c r="F8" s="75">
        <f t="shared" si="2"/>
        <v>6500</v>
      </c>
      <c r="G8" s="75">
        <f t="shared" si="2"/>
        <v>6500</v>
      </c>
      <c r="H8" s="75">
        <f t="shared" si="2"/>
        <v>6500</v>
      </c>
      <c r="I8" s="75">
        <f t="shared" si="2"/>
        <v>6500</v>
      </c>
      <c r="J8" s="75">
        <f t="shared" si="2"/>
        <v>6500</v>
      </c>
      <c r="K8" s="75">
        <f t="shared" si="2"/>
        <v>6500</v>
      </c>
      <c r="L8" s="75">
        <f t="shared" si="2"/>
        <v>6500</v>
      </c>
      <c r="M8" s="75">
        <f t="shared" si="2"/>
        <v>6500</v>
      </c>
      <c r="N8" s="75">
        <f t="shared" si="2"/>
        <v>6500</v>
      </c>
      <c r="O8" s="75">
        <f t="shared" si="2"/>
        <v>6500</v>
      </c>
      <c r="P8" s="75">
        <f t="shared" si="2"/>
        <v>6500</v>
      </c>
      <c r="Q8" s="75">
        <f t="shared" si="2"/>
        <v>6500</v>
      </c>
      <c r="R8" s="75">
        <f t="shared" si="2"/>
        <v>6500</v>
      </c>
      <c r="S8" s="75">
        <f t="shared" si="2"/>
        <v>6500</v>
      </c>
      <c r="T8" s="75">
        <f t="shared" si="2"/>
        <v>6500</v>
      </c>
      <c r="U8" s="75">
        <f t="shared" si="2"/>
        <v>6500</v>
      </c>
      <c r="V8" s="75">
        <f t="shared" si="2"/>
        <v>6500</v>
      </c>
      <c r="W8" s="75">
        <f t="shared" si="2"/>
        <v>6500</v>
      </c>
      <c r="X8" s="75">
        <f t="shared" si="2"/>
        <v>6500</v>
      </c>
      <c r="Y8" s="75">
        <f t="shared" si="2"/>
        <v>6500</v>
      </c>
      <c r="Z8" s="75">
        <f t="shared" si="2"/>
        <v>6500</v>
      </c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pans="1:54">
      <c r="A9" s="71" t="s">
        <v>79</v>
      </c>
      <c r="B9" s="56">
        <v>10</v>
      </c>
      <c r="C9" s="75">
        <f>$B$9</f>
        <v>10</v>
      </c>
      <c r="D9" s="75">
        <f t="shared" ref="D9:Z9" si="3">$B$9</f>
        <v>10</v>
      </c>
      <c r="E9" s="75">
        <f t="shared" si="3"/>
        <v>10</v>
      </c>
      <c r="F9" s="75">
        <f t="shared" si="3"/>
        <v>10</v>
      </c>
      <c r="G9" s="75">
        <f t="shared" si="3"/>
        <v>10</v>
      </c>
      <c r="H9" s="75">
        <f t="shared" si="3"/>
        <v>10</v>
      </c>
      <c r="I9" s="75">
        <f t="shared" si="3"/>
        <v>10</v>
      </c>
      <c r="J9" s="75">
        <f t="shared" si="3"/>
        <v>10</v>
      </c>
      <c r="K9" s="75">
        <f t="shared" si="3"/>
        <v>10</v>
      </c>
      <c r="L9" s="75">
        <f t="shared" si="3"/>
        <v>10</v>
      </c>
      <c r="M9" s="75">
        <f t="shared" si="3"/>
        <v>10</v>
      </c>
      <c r="N9" s="75">
        <f t="shared" si="3"/>
        <v>10</v>
      </c>
      <c r="O9" s="75">
        <f t="shared" si="3"/>
        <v>10</v>
      </c>
      <c r="P9" s="75">
        <f t="shared" si="3"/>
        <v>10</v>
      </c>
      <c r="Q9" s="75">
        <f t="shared" si="3"/>
        <v>10</v>
      </c>
      <c r="R9" s="75">
        <f t="shared" si="3"/>
        <v>10</v>
      </c>
      <c r="S9" s="75">
        <f t="shared" si="3"/>
        <v>10</v>
      </c>
      <c r="T9" s="75">
        <f t="shared" si="3"/>
        <v>10</v>
      </c>
      <c r="U9" s="75">
        <f t="shared" si="3"/>
        <v>10</v>
      </c>
      <c r="V9" s="75">
        <f t="shared" si="3"/>
        <v>10</v>
      </c>
      <c r="W9" s="75">
        <f t="shared" si="3"/>
        <v>10</v>
      </c>
      <c r="X9" s="75">
        <f t="shared" si="3"/>
        <v>10</v>
      </c>
      <c r="Y9" s="75">
        <f t="shared" si="3"/>
        <v>10</v>
      </c>
      <c r="Z9" s="75">
        <f t="shared" si="3"/>
        <v>10</v>
      </c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>
      <c r="A10" s="71" t="s">
        <v>80</v>
      </c>
      <c r="B10" s="65"/>
      <c r="C10" s="76">
        <v>31</v>
      </c>
      <c r="D10" s="76">
        <v>28</v>
      </c>
      <c r="E10" s="76">
        <v>31</v>
      </c>
      <c r="F10" s="76">
        <v>30</v>
      </c>
      <c r="G10" s="76">
        <v>31</v>
      </c>
      <c r="H10" s="76">
        <v>30</v>
      </c>
      <c r="I10" s="76">
        <v>31</v>
      </c>
      <c r="J10" s="76">
        <v>31</v>
      </c>
      <c r="K10" s="76">
        <v>30</v>
      </c>
      <c r="L10" s="76">
        <v>31</v>
      </c>
      <c r="M10" s="76">
        <v>30</v>
      </c>
      <c r="N10" s="76">
        <v>31</v>
      </c>
      <c r="O10" s="76">
        <v>31</v>
      </c>
      <c r="P10" s="76">
        <v>28</v>
      </c>
      <c r="Q10" s="76">
        <v>31</v>
      </c>
      <c r="R10" s="76">
        <v>30</v>
      </c>
      <c r="S10" s="76">
        <v>31</v>
      </c>
      <c r="T10" s="76">
        <v>30</v>
      </c>
      <c r="U10" s="76">
        <v>31</v>
      </c>
      <c r="V10" s="76">
        <v>31</v>
      </c>
      <c r="W10" s="76">
        <v>30</v>
      </c>
      <c r="X10" s="76">
        <v>31</v>
      </c>
      <c r="Y10" s="76">
        <v>30</v>
      </c>
      <c r="Z10" s="76">
        <v>31</v>
      </c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pans="1:54">
      <c r="A11" s="69" t="s">
        <v>95</v>
      </c>
      <c r="B11" s="70"/>
      <c r="C11" s="77">
        <f>C12+C15+C18+C21</f>
        <v>356500</v>
      </c>
      <c r="D11" s="77">
        <f t="shared" ref="D11:Z11" si="4">D12+D15+D18+D21</f>
        <v>322000</v>
      </c>
      <c r="E11" s="77">
        <f t="shared" si="4"/>
        <v>139500</v>
      </c>
      <c r="F11" s="77">
        <f t="shared" si="4"/>
        <v>135000</v>
      </c>
      <c r="G11" s="77">
        <f t="shared" si="4"/>
        <v>139500</v>
      </c>
      <c r="H11" s="77">
        <f t="shared" si="4"/>
        <v>135000</v>
      </c>
      <c r="I11" s="77">
        <f t="shared" si="4"/>
        <v>139500</v>
      </c>
      <c r="J11" s="77">
        <f t="shared" si="4"/>
        <v>139500</v>
      </c>
      <c r="K11" s="77">
        <f t="shared" si="4"/>
        <v>135000</v>
      </c>
      <c r="L11" s="77">
        <f t="shared" si="4"/>
        <v>139500</v>
      </c>
      <c r="M11" s="77">
        <f t="shared" si="4"/>
        <v>135000</v>
      </c>
      <c r="N11" s="77">
        <f t="shared" si="4"/>
        <v>139500</v>
      </c>
      <c r="O11" s="77">
        <f t="shared" si="4"/>
        <v>139500</v>
      </c>
      <c r="P11" s="77">
        <f t="shared" si="4"/>
        <v>126000</v>
      </c>
      <c r="Q11" s="77">
        <f t="shared" si="4"/>
        <v>139500</v>
      </c>
      <c r="R11" s="77">
        <f t="shared" si="4"/>
        <v>135000</v>
      </c>
      <c r="S11" s="77">
        <f t="shared" si="4"/>
        <v>139500</v>
      </c>
      <c r="T11" s="77">
        <f t="shared" si="4"/>
        <v>135000</v>
      </c>
      <c r="U11" s="77">
        <f t="shared" si="4"/>
        <v>139500</v>
      </c>
      <c r="V11" s="77">
        <f t="shared" si="4"/>
        <v>139500</v>
      </c>
      <c r="W11" s="77">
        <f t="shared" si="4"/>
        <v>135000</v>
      </c>
      <c r="X11" s="77">
        <f t="shared" si="4"/>
        <v>139500</v>
      </c>
      <c r="Y11" s="77">
        <f t="shared" si="4"/>
        <v>135000</v>
      </c>
      <c r="Z11" s="77">
        <f t="shared" si="4"/>
        <v>139500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pans="1:54">
      <c r="A12" s="69" t="s">
        <v>96</v>
      </c>
      <c r="B12" s="93"/>
      <c r="C12" s="77">
        <f>B13*B14*C10</f>
        <v>217000</v>
      </c>
      <c r="D12" s="75">
        <f>B13*B14*D10</f>
        <v>196000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4">
      <c r="A13" s="71" t="s">
        <v>79</v>
      </c>
      <c r="B13" s="72">
        <v>2</v>
      </c>
      <c r="E13" s="78"/>
      <c r="F13" s="78"/>
      <c r="G13" s="78"/>
      <c r="H13" s="78"/>
      <c r="I13" s="78"/>
      <c r="J13" s="78"/>
      <c r="K13" s="78"/>
      <c r="L13" s="78"/>
      <c r="M13" s="78"/>
      <c r="N13" s="78">
        <f>B13*B14*N10</f>
        <v>217000</v>
      </c>
      <c r="O13" s="78">
        <f>B13*B14*O10</f>
        <v>217000</v>
      </c>
      <c r="P13" s="78">
        <f>B13*B14*P10</f>
        <v>196000</v>
      </c>
      <c r="Q13" s="78"/>
      <c r="R13" s="78"/>
      <c r="S13" s="78"/>
      <c r="T13" s="78"/>
      <c r="U13" s="78"/>
      <c r="V13" s="78"/>
      <c r="W13" s="78"/>
      <c r="X13" s="78"/>
      <c r="Y13" s="78"/>
      <c r="Z13" s="78">
        <f>B13*B14*Z10</f>
        <v>217000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1:54">
      <c r="A14" s="71" t="s">
        <v>97</v>
      </c>
      <c r="B14" s="72">
        <v>3500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9"/>
      <c r="O14" s="79"/>
      <c r="P14" s="79"/>
      <c r="Q14" s="75"/>
      <c r="R14" s="75"/>
      <c r="S14" s="75"/>
      <c r="T14" s="75"/>
      <c r="U14" s="75"/>
      <c r="V14" s="75"/>
      <c r="W14" s="75"/>
      <c r="X14" s="75"/>
      <c r="Y14" s="75"/>
      <c r="Z14" s="79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1:54">
      <c r="A15" s="69" t="s">
        <v>98</v>
      </c>
      <c r="B15" s="94"/>
      <c r="C15" s="75">
        <f>$B$16*$B$17*C10</f>
        <v>68200</v>
      </c>
      <c r="D15" s="75">
        <f t="shared" ref="D15:Z15" si="5">$B$16*$B$17*D10</f>
        <v>61600</v>
      </c>
      <c r="E15" s="75">
        <f t="shared" si="5"/>
        <v>68200</v>
      </c>
      <c r="F15" s="75">
        <f t="shared" si="5"/>
        <v>66000</v>
      </c>
      <c r="G15" s="75">
        <f t="shared" si="5"/>
        <v>68200</v>
      </c>
      <c r="H15" s="75">
        <f t="shared" si="5"/>
        <v>66000</v>
      </c>
      <c r="I15" s="75">
        <f t="shared" si="5"/>
        <v>68200</v>
      </c>
      <c r="J15" s="75">
        <f t="shared" si="5"/>
        <v>68200</v>
      </c>
      <c r="K15" s="75">
        <f t="shared" si="5"/>
        <v>66000</v>
      </c>
      <c r="L15" s="75">
        <f t="shared" si="5"/>
        <v>68200</v>
      </c>
      <c r="M15" s="75">
        <f t="shared" si="5"/>
        <v>66000</v>
      </c>
      <c r="N15" s="75">
        <f t="shared" si="5"/>
        <v>68200</v>
      </c>
      <c r="O15" s="75">
        <f t="shared" si="5"/>
        <v>68200</v>
      </c>
      <c r="P15" s="75">
        <f t="shared" si="5"/>
        <v>61600</v>
      </c>
      <c r="Q15" s="75">
        <f t="shared" si="5"/>
        <v>68200</v>
      </c>
      <c r="R15" s="75">
        <f t="shared" si="5"/>
        <v>66000</v>
      </c>
      <c r="S15" s="75">
        <f t="shared" si="5"/>
        <v>68200</v>
      </c>
      <c r="T15" s="75">
        <f t="shared" si="5"/>
        <v>66000</v>
      </c>
      <c r="U15" s="75">
        <f t="shared" si="5"/>
        <v>68200</v>
      </c>
      <c r="V15" s="75">
        <f t="shared" si="5"/>
        <v>68200</v>
      </c>
      <c r="W15" s="75">
        <f t="shared" si="5"/>
        <v>66000</v>
      </c>
      <c r="X15" s="75">
        <f t="shared" si="5"/>
        <v>68200</v>
      </c>
      <c r="Y15" s="75">
        <f t="shared" si="5"/>
        <v>66000</v>
      </c>
      <c r="Z15" s="75">
        <f t="shared" si="5"/>
        <v>68200</v>
      </c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spans="1:54">
      <c r="A16" s="71" t="s">
        <v>79</v>
      </c>
      <c r="B16" s="72">
        <v>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pans="1:54">
      <c r="A17" s="71" t="s">
        <v>97</v>
      </c>
      <c r="B17" s="72">
        <v>1100</v>
      </c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spans="1:54">
      <c r="A18" s="69" t="s">
        <v>99</v>
      </c>
      <c r="B18" s="93"/>
      <c r="C18" s="77">
        <f>$B$19*$B$20*C10</f>
        <v>21700</v>
      </c>
      <c r="D18" s="77">
        <f t="shared" ref="D18:Z18" si="6">$B$19*$B$20*D10</f>
        <v>19600</v>
      </c>
      <c r="E18" s="77">
        <f t="shared" si="6"/>
        <v>21700</v>
      </c>
      <c r="F18" s="77">
        <f t="shared" si="6"/>
        <v>21000</v>
      </c>
      <c r="G18" s="77">
        <f t="shared" si="6"/>
        <v>21700</v>
      </c>
      <c r="H18" s="77">
        <f t="shared" si="6"/>
        <v>21000</v>
      </c>
      <c r="I18" s="77">
        <f t="shared" si="6"/>
        <v>21700</v>
      </c>
      <c r="J18" s="77">
        <f t="shared" si="6"/>
        <v>21700</v>
      </c>
      <c r="K18" s="77">
        <f t="shared" si="6"/>
        <v>21000</v>
      </c>
      <c r="L18" s="77">
        <f t="shared" si="6"/>
        <v>21700</v>
      </c>
      <c r="M18" s="77">
        <f t="shared" si="6"/>
        <v>21000</v>
      </c>
      <c r="N18" s="77">
        <f t="shared" si="6"/>
        <v>21700</v>
      </c>
      <c r="O18" s="77">
        <f t="shared" si="6"/>
        <v>21700</v>
      </c>
      <c r="P18" s="77">
        <f t="shared" si="6"/>
        <v>19600</v>
      </c>
      <c r="Q18" s="77">
        <f t="shared" si="6"/>
        <v>21700</v>
      </c>
      <c r="R18" s="77">
        <f t="shared" si="6"/>
        <v>21000</v>
      </c>
      <c r="S18" s="77">
        <f t="shared" si="6"/>
        <v>21700</v>
      </c>
      <c r="T18" s="77">
        <f t="shared" si="6"/>
        <v>21000</v>
      </c>
      <c r="U18" s="77">
        <f t="shared" si="6"/>
        <v>21700</v>
      </c>
      <c r="V18" s="77">
        <f t="shared" si="6"/>
        <v>21700</v>
      </c>
      <c r="W18" s="77">
        <f t="shared" si="6"/>
        <v>21000</v>
      </c>
      <c r="X18" s="77">
        <f t="shared" si="6"/>
        <v>21700</v>
      </c>
      <c r="Y18" s="77">
        <f t="shared" si="6"/>
        <v>21000</v>
      </c>
      <c r="Z18" s="77">
        <f t="shared" si="6"/>
        <v>21700</v>
      </c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  <row r="19" spans="1:54">
      <c r="A19" s="71" t="s">
        <v>79</v>
      </c>
      <c r="B19" s="72">
        <v>2</v>
      </c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1:54">
      <c r="A20" s="71" t="s">
        <v>97</v>
      </c>
      <c r="B20" s="72">
        <v>350</v>
      </c>
      <c r="C20" s="77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</row>
    <row r="21" spans="1:54">
      <c r="A21" s="69" t="s">
        <v>100</v>
      </c>
      <c r="B21" s="74">
        <v>0.4</v>
      </c>
      <c r="C21" s="77">
        <f>$B$23*$B$22*C10*$B$21</f>
        <v>49600</v>
      </c>
      <c r="D21" s="77">
        <f t="shared" ref="D21:Z21" si="7">$B$23*$B$22*D10*$B$21</f>
        <v>44800</v>
      </c>
      <c r="E21" s="77">
        <f t="shared" si="7"/>
        <v>49600</v>
      </c>
      <c r="F21" s="77">
        <f t="shared" si="7"/>
        <v>48000</v>
      </c>
      <c r="G21" s="77">
        <f t="shared" si="7"/>
        <v>49600</v>
      </c>
      <c r="H21" s="77">
        <f t="shared" si="7"/>
        <v>48000</v>
      </c>
      <c r="I21" s="77">
        <f t="shared" si="7"/>
        <v>49600</v>
      </c>
      <c r="J21" s="77">
        <f t="shared" si="7"/>
        <v>49600</v>
      </c>
      <c r="K21" s="77">
        <f t="shared" si="7"/>
        <v>48000</v>
      </c>
      <c r="L21" s="77">
        <f t="shared" si="7"/>
        <v>49600</v>
      </c>
      <c r="M21" s="77">
        <f t="shared" si="7"/>
        <v>48000</v>
      </c>
      <c r="N21" s="77">
        <f t="shared" si="7"/>
        <v>49600</v>
      </c>
      <c r="O21" s="77">
        <f t="shared" si="7"/>
        <v>49600</v>
      </c>
      <c r="P21" s="77">
        <f t="shared" si="7"/>
        <v>44800</v>
      </c>
      <c r="Q21" s="77">
        <f t="shared" si="7"/>
        <v>49600</v>
      </c>
      <c r="R21" s="77">
        <f t="shared" si="7"/>
        <v>48000</v>
      </c>
      <c r="S21" s="77">
        <f t="shared" si="7"/>
        <v>49600</v>
      </c>
      <c r="T21" s="77">
        <f t="shared" si="7"/>
        <v>48000</v>
      </c>
      <c r="U21" s="77">
        <f t="shared" si="7"/>
        <v>49600</v>
      </c>
      <c r="V21" s="77">
        <f t="shared" si="7"/>
        <v>49600</v>
      </c>
      <c r="W21" s="77">
        <f t="shared" si="7"/>
        <v>48000</v>
      </c>
      <c r="X21" s="77">
        <f t="shared" si="7"/>
        <v>49600</v>
      </c>
      <c r="Y21" s="77">
        <f t="shared" si="7"/>
        <v>48000</v>
      </c>
      <c r="Z21" s="77">
        <f t="shared" si="7"/>
        <v>49600</v>
      </c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</row>
    <row r="22" spans="1:54">
      <c r="A22" s="71" t="s">
        <v>79</v>
      </c>
      <c r="B22" s="72">
        <v>2</v>
      </c>
      <c r="C22" s="7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</row>
    <row r="23" spans="1:54">
      <c r="A23" s="71" t="s">
        <v>97</v>
      </c>
      <c r="B23" s="73">
        <v>2000</v>
      </c>
      <c r="C23" s="80"/>
      <c r="D23" s="33"/>
      <c r="E23" s="33"/>
      <c r="F23" s="33"/>
      <c r="G23" s="33"/>
      <c r="H23" s="33"/>
      <c r="I23" s="33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7"/>
    </row>
    <row r="24" spans="1:54">
      <c r="A24" s="39" t="s">
        <v>22</v>
      </c>
      <c r="B24" s="40"/>
      <c r="C24" s="42">
        <f>C25+C31+C32+C34+C35+C36+C37+C38</f>
        <v>1808740.4519379844</v>
      </c>
      <c r="D24" s="42">
        <f t="shared" ref="D24:Z24" si="8">D25+D31+D32+D34+D35+D36+D37+D38</f>
        <v>1876379.0565891473</v>
      </c>
      <c r="E24" s="42">
        <f t="shared" si="8"/>
        <v>1861740.4519379844</v>
      </c>
      <c r="F24" s="42">
        <f t="shared" si="8"/>
        <v>1811686.653488372</v>
      </c>
      <c r="G24" s="42">
        <f t="shared" si="8"/>
        <v>1856040.4519379844</v>
      </c>
      <c r="H24" s="42">
        <f t="shared" si="8"/>
        <v>1811686.653488372</v>
      </c>
      <c r="I24" s="42">
        <f t="shared" si="8"/>
        <v>1856040.4519379844</v>
      </c>
      <c r="J24" s="42">
        <f t="shared" si="8"/>
        <v>1862990.4519379844</v>
      </c>
      <c r="K24" s="42">
        <f t="shared" si="8"/>
        <v>1811686.653488372</v>
      </c>
      <c r="L24" s="42">
        <f t="shared" si="8"/>
        <v>1856040.4519379844</v>
      </c>
      <c r="M24" s="42">
        <f t="shared" si="8"/>
        <v>1811686.653488372</v>
      </c>
      <c r="N24" s="42">
        <f t="shared" si="8"/>
        <v>1856040.4519379844</v>
      </c>
      <c r="O24" s="42">
        <f t="shared" si="8"/>
        <v>1862990.4519379844</v>
      </c>
      <c r="P24" s="42">
        <f t="shared" si="8"/>
        <v>1709079.0565891473</v>
      </c>
      <c r="Q24" s="42">
        <f t="shared" si="8"/>
        <v>1842140.4519379844</v>
      </c>
      <c r="R24" s="42">
        <f t="shared" si="8"/>
        <v>1811686.653488372</v>
      </c>
      <c r="S24" s="42">
        <f t="shared" si="8"/>
        <v>1856040.4519379844</v>
      </c>
      <c r="T24" s="42">
        <f t="shared" si="8"/>
        <v>1811686.653488372</v>
      </c>
      <c r="U24" s="42">
        <f t="shared" si="8"/>
        <v>1856040.4519379844</v>
      </c>
      <c r="V24" s="42">
        <f t="shared" si="8"/>
        <v>1862990.4519379844</v>
      </c>
      <c r="W24" s="42">
        <f t="shared" si="8"/>
        <v>1811686.653488372</v>
      </c>
      <c r="X24" s="42">
        <f t="shared" si="8"/>
        <v>1856040.4519379844</v>
      </c>
      <c r="Y24" s="42">
        <f t="shared" si="8"/>
        <v>1811686.653488372</v>
      </c>
      <c r="Z24" s="42">
        <f t="shared" si="8"/>
        <v>1856040.4519379844</v>
      </c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47"/>
    </row>
    <row r="25" spans="1:54">
      <c r="A25" s="1" t="s">
        <v>72</v>
      </c>
      <c r="B25" s="43"/>
      <c r="C25" s="33">
        <f t="shared" ref="C25:Z25" si="9">(C27+C28+C29+C30)*C26</f>
        <v>28122.7</v>
      </c>
      <c r="D25" s="33">
        <f t="shared" si="9"/>
        <v>265272.7</v>
      </c>
      <c r="E25" s="33">
        <f t="shared" si="9"/>
        <v>242322.7</v>
      </c>
      <c r="F25" s="33">
        <f t="shared" si="9"/>
        <v>243572.7</v>
      </c>
      <c r="G25" s="33">
        <f t="shared" si="9"/>
        <v>236622.7</v>
      </c>
      <c r="H25" s="33">
        <f t="shared" si="9"/>
        <v>243572.7</v>
      </c>
      <c r="I25" s="33">
        <f t="shared" si="9"/>
        <v>236622.7</v>
      </c>
      <c r="J25" s="33">
        <f t="shared" si="9"/>
        <v>243572.7</v>
      </c>
      <c r="K25" s="33">
        <f t="shared" si="9"/>
        <v>243572.7</v>
      </c>
      <c r="L25" s="33">
        <f t="shared" si="9"/>
        <v>236622.7</v>
      </c>
      <c r="M25" s="33">
        <f t="shared" si="9"/>
        <v>243572.7</v>
      </c>
      <c r="N25" s="33">
        <f t="shared" si="9"/>
        <v>236622.7</v>
      </c>
      <c r="O25" s="33">
        <f t="shared" si="9"/>
        <v>243572.7</v>
      </c>
      <c r="P25" s="33">
        <f t="shared" si="9"/>
        <v>243572.7</v>
      </c>
      <c r="Q25" s="33">
        <f t="shared" si="9"/>
        <v>222722.7</v>
      </c>
      <c r="R25" s="33">
        <f t="shared" si="9"/>
        <v>243572.7</v>
      </c>
      <c r="S25" s="33">
        <f t="shared" si="9"/>
        <v>236622.7</v>
      </c>
      <c r="T25" s="33">
        <f t="shared" si="9"/>
        <v>243572.7</v>
      </c>
      <c r="U25" s="33">
        <f t="shared" si="9"/>
        <v>236622.7</v>
      </c>
      <c r="V25" s="33">
        <f t="shared" si="9"/>
        <v>243572.7</v>
      </c>
      <c r="W25" s="33">
        <f t="shared" si="9"/>
        <v>243572.7</v>
      </c>
      <c r="X25" s="33">
        <f t="shared" si="9"/>
        <v>236622.7</v>
      </c>
      <c r="Y25" s="33">
        <f t="shared" si="9"/>
        <v>243572.7</v>
      </c>
      <c r="Z25" s="33">
        <f t="shared" si="9"/>
        <v>236622.7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7"/>
    </row>
    <row r="26" spans="1:54">
      <c r="A26" s="1" t="s">
        <v>81</v>
      </c>
      <c r="B26" s="57">
        <v>2</v>
      </c>
      <c r="C26" s="33">
        <f>$B$26</f>
        <v>2</v>
      </c>
      <c r="D26" s="33">
        <f t="shared" ref="D26:Z26" si="10">$B$26</f>
        <v>2</v>
      </c>
      <c r="E26" s="33">
        <f t="shared" si="10"/>
        <v>2</v>
      </c>
      <c r="F26" s="33">
        <f t="shared" si="10"/>
        <v>2</v>
      </c>
      <c r="G26" s="33">
        <f t="shared" si="10"/>
        <v>2</v>
      </c>
      <c r="H26" s="33">
        <f t="shared" si="10"/>
        <v>2</v>
      </c>
      <c r="I26" s="33">
        <f t="shared" si="10"/>
        <v>2</v>
      </c>
      <c r="J26" s="33">
        <f t="shared" si="10"/>
        <v>2</v>
      </c>
      <c r="K26" s="33">
        <f t="shared" si="10"/>
        <v>2</v>
      </c>
      <c r="L26" s="33">
        <f t="shared" si="10"/>
        <v>2</v>
      </c>
      <c r="M26" s="33">
        <f t="shared" si="10"/>
        <v>2</v>
      </c>
      <c r="N26" s="33">
        <f t="shared" si="10"/>
        <v>2</v>
      </c>
      <c r="O26" s="33">
        <f t="shared" si="10"/>
        <v>2</v>
      </c>
      <c r="P26" s="33">
        <f t="shared" si="10"/>
        <v>2</v>
      </c>
      <c r="Q26" s="33">
        <f t="shared" si="10"/>
        <v>2</v>
      </c>
      <c r="R26" s="33">
        <f t="shared" si="10"/>
        <v>2</v>
      </c>
      <c r="S26" s="33">
        <f t="shared" si="10"/>
        <v>2</v>
      </c>
      <c r="T26" s="33">
        <f t="shared" si="10"/>
        <v>2</v>
      </c>
      <c r="U26" s="33">
        <f t="shared" si="10"/>
        <v>2</v>
      </c>
      <c r="V26" s="33">
        <f t="shared" si="10"/>
        <v>2</v>
      </c>
      <c r="W26" s="33">
        <f t="shared" si="10"/>
        <v>2</v>
      </c>
      <c r="X26" s="33">
        <f t="shared" si="10"/>
        <v>2</v>
      </c>
      <c r="Y26" s="33">
        <f t="shared" si="10"/>
        <v>2</v>
      </c>
      <c r="Z26" s="33">
        <f t="shared" si="10"/>
        <v>2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7"/>
    </row>
    <row r="27" spans="1:54">
      <c r="A27" s="1" t="s">
        <v>82</v>
      </c>
      <c r="B27" s="57">
        <v>10000</v>
      </c>
      <c r="C27" s="33">
        <f t="shared" ref="C27:Z27" si="11">$B$27</f>
        <v>10000</v>
      </c>
      <c r="D27" s="33">
        <f t="shared" si="11"/>
        <v>10000</v>
      </c>
      <c r="E27" s="33">
        <f t="shared" si="11"/>
        <v>10000</v>
      </c>
      <c r="F27" s="33">
        <f t="shared" si="11"/>
        <v>10000</v>
      </c>
      <c r="G27" s="33">
        <f t="shared" si="11"/>
        <v>10000</v>
      </c>
      <c r="H27" s="33">
        <f t="shared" si="11"/>
        <v>10000</v>
      </c>
      <c r="I27" s="33">
        <f t="shared" si="11"/>
        <v>10000</v>
      </c>
      <c r="J27" s="33">
        <f t="shared" si="11"/>
        <v>10000</v>
      </c>
      <c r="K27" s="33">
        <f t="shared" si="11"/>
        <v>10000</v>
      </c>
      <c r="L27" s="33">
        <f t="shared" si="11"/>
        <v>10000</v>
      </c>
      <c r="M27" s="33">
        <f t="shared" si="11"/>
        <v>10000</v>
      </c>
      <c r="N27" s="33">
        <f t="shared" si="11"/>
        <v>10000</v>
      </c>
      <c r="O27" s="33">
        <f t="shared" si="11"/>
        <v>10000</v>
      </c>
      <c r="P27" s="33">
        <f t="shared" si="11"/>
        <v>10000</v>
      </c>
      <c r="Q27" s="33">
        <f t="shared" si="11"/>
        <v>10000</v>
      </c>
      <c r="R27" s="33">
        <f t="shared" si="11"/>
        <v>10000</v>
      </c>
      <c r="S27" s="33">
        <f t="shared" si="11"/>
        <v>10000</v>
      </c>
      <c r="T27" s="33">
        <f t="shared" si="11"/>
        <v>10000</v>
      </c>
      <c r="U27" s="33">
        <f t="shared" si="11"/>
        <v>10000</v>
      </c>
      <c r="V27" s="33">
        <f t="shared" si="11"/>
        <v>10000</v>
      </c>
      <c r="W27" s="33">
        <f t="shared" si="11"/>
        <v>10000</v>
      </c>
      <c r="X27" s="33">
        <f t="shared" si="11"/>
        <v>10000</v>
      </c>
      <c r="Y27" s="33">
        <f t="shared" si="11"/>
        <v>10000</v>
      </c>
      <c r="Z27" s="33">
        <f t="shared" si="11"/>
        <v>10000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7"/>
    </row>
    <row r="28" spans="1:54" ht="27.6">
      <c r="A28" s="1" t="s">
        <v>83</v>
      </c>
      <c r="B28" s="60">
        <v>0.05</v>
      </c>
      <c r="C28" s="43">
        <v>0</v>
      </c>
      <c r="D28" s="43">
        <f>C6*$B$28</f>
        <v>118575</v>
      </c>
      <c r="E28" s="43">
        <f t="shared" ref="E28:Z28" si="12">D6*$B$28</f>
        <v>107100</v>
      </c>
      <c r="F28" s="43">
        <f t="shared" si="12"/>
        <v>107725</v>
      </c>
      <c r="G28" s="43">
        <f t="shared" si="12"/>
        <v>104250</v>
      </c>
      <c r="H28" s="43">
        <f t="shared" si="12"/>
        <v>107725</v>
      </c>
      <c r="I28" s="43">
        <f t="shared" si="12"/>
        <v>104250</v>
      </c>
      <c r="J28" s="43">
        <f t="shared" si="12"/>
        <v>107725</v>
      </c>
      <c r="K28" s="43">
        <f t="shared" si="12"/>
        <v>107725</v>
      </c>
      <c r="L28" s="43">
        <f t="shared" si="12"/>
        <v>104250</v>
      </c>
      <c r="M28" s="43">
        <f t="shared" si="12"/>
        <v>107725</v>
      </c>
      <c r="N28" s="43">
        <f t="shared" si="12"/>
        <v>104250</v>
      </c>
      <c r="O28" s="43">
        <f t="shared" si="12"/>
        <v>107725</v>
      </c>
      <c r="P28" s="43">
        <f t="shared" si="12"/>
        <v>107725</v>
      </c>
      <c r="Q28" s="43">
        <f t="shared" si="12"/>
        <v>97300</v>
      </c>
      <c r="R28" s="43">
        <f t="shared" si="12"/>
        <v>107725</v>
      </c>
      <c r="S28" s="43">
        <f t="shared" si="12"/>
        <v>104250</v>
      </c>
      <c r="T28" s="43">
        <f t="shared" si="12"/>
        <v>107725</v>
      </c>
      <c r="U28" s="43">
        <f t="shared" si="12"/>
        <v>104250</v>
      </c>
      <c r="V28" s="43">
        <f t="shared" si="12"/>
        <v>107725</v>
      </c>
      <c r="W28" s="43">
        <f t="shared" si="12"/>
        <v>107725</v>
      </c>
      <c r="X28" s="43">
        <f t="shared" si="12"/>
        <v>104250</v>
      </c>
      <c r="Y28" s="43">
        <f t="shared" si="12"/>
        <v>107725</v>
      </c>
      <c r="Z28" s="43">
        <f t="shared" si="12"/>
        <v>104250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7"/>
    </row>
    <row r="29" spans="1:54">
      <c r="A29" s="1" t="s">
        <v>92</v>
      </c>
      <c r="B29" s="60">
        <v>0.3</v>
      </c>
      <c r="C29" s="33">
        <f t="shared" ref="C29:Z29" si="13">$B$46*$B$29</f>
        <v>2833.5</v>
      </c>
      <c r="D29" s="33">
        <f t="shared" si="13"/>
        <v>2833.5</v>
      </c>
      <c r="E29" s="33">
        <f t="shared" si="13"/>
        <v>2833.5</v>
      </c>
      <c r="F29" s="33">
        <f t="shared" si="13"/>
        <v>2833.5</v>
      </c>
      <c r="G29" s="33">
        <f t="shared" si="13"/>
        <v>2833.5</v>
      </c>
      <c r="H29" s="33">
        <f t="shared" si="13"/>
        <v>2833.5</v>
      </c>
      <c r="I29" s="33">
        <f t="shared" si="13"/>
        <v>2833.5</v>
      </c>
      <c r="J29" s="33">
        <f t="shared" si="13"/>
        <v>2833.5</v>
      </c>
      <c r="K29" s="33">
        <f t="shared" si="13"/>
        <v>2833.5</v>
      </c>
      <c r="L29" s="33">
        <f t="shared" si="13"/>
        <v>2833.5</v>
      </c>
      <c r="M29" s="33">
        <f t="shared" si="13"/>
        <v>2833.5</v>
      </c>
      <c r="N29" s="33">
        <f t="shared" si="13"/>
        <v>2833.5</v>
      </c>
      <c r="O29" s="33">
        <f t="shared" si="13"/>
        <v>2833.5</v>
      </c>
      <c r="P29" s="33">
        <f t="shared" si="13"/>
        <v>2833.5</v>
      </c>
      <c r="Q29" s="33">
        <f t="shared" si="13"/>
        <v>2833.5</v>
      </c>
      <c r="R29" s="33">
        <f t="shared" si="13"/>
        <v>2833.5</v>
      </c>
      <c r="S29" s="33">
        <f t="shared" si="13"/>
        <v>2833.5</v>
      </c>
      <c r="T29" s="33">
        <f t="shared" si="13"/>
        <v>2833.5</v>
      </c>
      <c r="U29" s="33">
        <f t="shared" si="13"/>
        <v>2833.5</v>
      </c>
      <c r="V29" s="33">
        <f t="shared" si="13"/>
        <v>2833.5</v>
      </c>
      <c r="W29" s="33">
        <f t="shared" si="13"/>
        <v>2833.5</v>
      </c>
      <c r="X29" s="33">
        <f t="shared" si="13"/>
        <v>2833.5</v>
      </c>
      <c r="Y29" s="33">
        <f t="shared" si="13"/>
        <v>2833.5</v>
      </c>
      <c r="Z29" s="33">
        <f t="shared" si="13"/>
        <v>2833.5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7"/>
    </row>
    <row r="30" spans="1:54">
      <c r="A30" s="1" t="s">
        <v>71</v>
      </c>
      <c r="B30" s="60">
        <v>0.13</v>
      </c>
      <c r="C30" s="33">
        <f t="shared" ref="C30:Z30" si="14">$B$46*$B$30</f>
        <v>1227.8500000000001</v>
      </c>
      <c r="D30" s="33">
        <f t="shared" si="14"/>
        <v>1227.8500000000001</v>
      </c>
      <c r="E30" s="33">
        <f t="shared" si="14"/>
        <v>1227.8500000000001</v>
      </c>
      <c r="F30" s="33">
        <f t="shared" si="14"/>
        <v>1227.8500000000001</v>
      </c>
      <c r="G30" s="33">
        <f t="shared" si="14"/>
        <v>1227.8500000000001</v>
      </c>
      <c r="H30" s="33">
        <f t="shared" si="14"/>
        <v>1227.8500000000001</v>
      </c>
      <c r="I30" s="33">
        <f t="shared" si="14"/>
        <v>1227.8500000000001</v>
      </c>
      <c r="J30" s="33">
        <f t="shared" si="14"/>
        <v>1227.8500000000001</v>
      </c>
      <c r="K30" s="33">
        <f t="shared" si="14"/>
        <v>1227.8500000000001</v>
      </c>
      <c r="L30" s="33">
        <f t="shared" si="14"/>
        <v>1227.8500000000001</v>
      </c>
      <c r="M30" s="33">
        <f t="shared" si="14"/>
        <v>1227.8500000000001</v>
      </c>
      <c r="N30" s="33">
        <f t="shared" si="14"/>
        <v>1227.8500000000001</v>
      </c>
      <c r="O30" s="33">
        <f t="shared" si="14"/>
        <v>1227.8500000000001</v>
      </c>
      <c r="P30" s="33">
        <f t="shared" si="14"/>
        <v>1227.8500000000001</v>
      </c>
      <c r="Q30" s="33">
        <f t="shared" si="14"/>
        <v>1227.8500000000001</v>
      </c>
      <c r="R30" s="33">
        <f t="shared" si="14"/>
        <v>1227.8500000000001</v>
      </c>
      <c r="S30" s="33">
        <f t="shared" si="14"/>
        <v>1227.8500000000001</v>
      </c>
      <c r="T30" s="33">
        <f t="shared" si="14"/>
        <v>1227.8500000000001</v>
      </c>
      <c r="U30" s="33">
        <f t="shared" si="14"/>
        <v>1227.8500000000001</v>
      </c>
      <c r="V30" s="33">
        <f t="shared" si="14"/>
        <v>1227.8500000000001</v>
      </c>
      <c r="W30" s="33">
        <f t="shared" si="14"/>
        <v>1227.8500000000001</v>
      </c>
      <c r="X30" s="33">
        <f t="shared" si="14"/>
        <v>1227.8500000000001</v>
      </c>
      <c r="Y30" s="33">
        <f t="shared" si="14"/>
        <v>1227.8500000000001</v>
      </c>
      <c r="Z30" s="33">
        <f t="shared" si="14"/>
        <v>1227.8500000000001</v>
      </c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7"/>
    </row>
    <row r="31" spans="1:54" ht="27.6">
      <c r="A31" s="1" t="s">
        <v>77</v>
      </c>
      <c r="B31" s="83"/>
      <c r="C31" s="82">
        <f>(C7*'Расчет наценки'!$F2)+(C12*'Расчет наценки'!$F8)+(C15*'Расчет наценки'!$F7)+(оптимистичный!C18*'Расчет наценки'!$F5)+(оптимистичный!C21*'Расчет наценки'!$F9)</f>
        <v>1751617.7519379845</v>
      </c>
      <c r="D31" s="82">
        <f>(D7*'Расчет наценки'!$F2)+(D12*'Расчет наценки'!$F8)+(D15*'Расчет наценки'!$F7)+(оптимистичный!D18*'Расчет наценки'!$F5)+(оптимистичный!D21*'Расчет наценки'!$F9)</f>
        <v>1582106.3565891474</v>
      </c>
      <c r="E31" s="82">
        <f>(E7*'Расчет наценки'!$F2)+(E12*'Расчет наценки'!$F8)+(E15*'Расчет наценки'!$F7)+(оптимистичный!E18*'Расчет наценки'!$F5)+(оптимистичный!E21*'Расчет наценки'!$F9)</f>
        <v>1590417.7519379845</v>
      </c>
      <c r="F31" s="82">
        <f>(F7*'Расчет наценки'!$F2)+(F12*'Расчет наценки'!$F8)+(F15*'Расчет наценки'!$F7)+(оптимистичный!F18*'Расчет наценки'!$F5)+(оптимистичный!F21*'Расчет наценки'!$F9)</f>
        <v>1539113.953488372</v>
      </c>
      <c r="G31" s="82">
        <f>(G7*'Расчет наценки'!$F2)+(G12*'Расчет наценки'!$F8)+(G15*'Расчет наценки'!$F7)+(оптимистичный!G18*'Расчет наценки'!$F5)+(оптимистичный!G21*'Расчет наценки'!$F9)</f>
        <v>1590417.7519379845</v>
      </c>
      <c r="H31" s="82">
        <f>(H7*'Расчет наценки'!$F2)+(H12*'Расчет наценки'!$F8)+(H15*'Расчет наценки'!$F7)+(оптимистичный!H18*'Расчет наценки'!$F5)+(оптимистичный!H21*'Расчет наценки'!$F9)</f>
        <v>1539113.953488372</v>
      </c>
      <c r="I31" s="82">
        <f>(I7*'Расчет наценки'!$F2)+(I12*'Расчет наценки'!$F8)+(I15*'Расчет наценки'!$F7)+(оптимистичный!I18*'Расчет наценки'!$F5)+(оптимистичный!I21*'Расчет наценки'!$F9)</f>
        <v>1590417.7519379845</v>
      </c>
      <c r="J31" s="82">
        <f>(J7*'Расчет наценки'!$F2)+(J12*'Расчет наценки'!$F8)+(J15*'Расчет наценки'!$F7)+(оптимистичный!J18*'Расчет наценки'!$F5)+(оптимистичный!J21*'Расчет наценки'!$F9)</f>
        <v>1590417.7519379845</v>
      </c>
      <c r="K31" s="82">
        <f>(K7*'Расчет наценки'!$F2)+(K12*'Расчет наценки'!$F8)+(K15*'Расчет наценки'!$F7)+(оптимистичный!K18*'Расчет наценки'!$F5)+(оптимистичный!K21*'Расчет наценки'!$F9)</f>
        <v>1539113.953488372</v>
      </c>
      <c r="L31" s="82">
        <f>(L7*'Расчет наценки'!$F2)+(L12*'Расчет наценки'!$F8)+(L15*'Расчет наценки'!$F7)+(оптимистичный!L18*'Расчет наценки'!$F5)+(оптимистичный!L21*'Расчет наценки'!$F9)</f>
        <v>1590417.7519379845</v>
      </c>
      <c r="M31" s="82">
        <f>(M7*'Расчет наценки'!$F2)+(M12*'Расчет наценки'!$F8)+(M15*'Расчет наценки'!$F7)+(оптимистичный!M18*'Расчет наценки'!$F5)+(оптимистичный!M21*'Расчет наценки'!$F9)</f>
        <v>1539113.953488372</v>
      </c>
      <c r="N31" s="82">
        <f>(N7*'Расчет наценки'!$F2)+(N12*'Расчет наценки'!$F8)+(N15*'Расчет наценки'!$F7)+(оптимистичный!N18*'Расчет наценки'!$F5)+(оптимистичный!N21*'Расчет наценки'!$F9)</f>
        <v>1590417.7519379845</v>
      </c>
      <c r="O31" s="82">
        <f>(O7*'Расчет наценки'!$F2)+(O12*'Расчет наценки'!$F8)+(O15*'Расчет наценки'!$F7)+(оптимистичный!O18*'Расчет наценки'!$F5)+(оптимистичный!O21*'Расчет наценки'!$F9)</f>
        <v>1590417.7519379845</v>
      </c>
      <c r="P31" s="82">
        <f>(P7*'Расчет наценки'!$F2)+(P12*'Расчет наценки'!$F8)+(P15*'Расчет наценки'!$F7)+(оптимистичный!P18*'Расчет наценки'!$F5)+(оптимистичный!P21*'Расчет наценки'!$F9)</f>
        <v>1436506.3565891474</v>
      </c>
      <c r="Q31" s="82">
        <f>(Q7*'Расчет наценки'!$F2)+(Q12*'Расчет наценки'!$F8)+(Q15*'Расчет наценки'!$F7)+(оптимистичный!Q18*'Расчет наценки'!$F5)+(оптимистичный!Q21*'Расчет наценки'!$F9)</f>
        <v>1590417.7519379845</v>
      </c>
      <c r="R31" s="82">
        <f>(R7*'Расчет наценки'!$F2)+(R12*'Расчет наценки'!$F8)+(R15*'Расчет наценки'!$F7)+(оптимистичный!R18*'Расчет наценки'!$F5)+(оптимистичный!R21*'Расчет наценки'!$F9)</f>
        <v>1539113.953488372</v>
      </c>
      <c r="S31" s="82">
        <f>(S7*'Расчет наценки'!$F2)+(S12*'Расчет наценки'!$F8)+(S15*'Расчет наценки'!$F7)+(оптимистичный!S18*'Расчет наценки'!$F5)+(оптимистичный!S21*'Расчет наценки'!$F9)</f>
        <v>1590417.7519379845</v>
      </c>
      <c r="T31" s="82">
        <f>(T7*'Расчет наценки'!$F2)+(T12*'Расчет наценки'!$F8)+(T15*'Расчет наценки'!$F7)+(оптимистичный!T18*'Расчет наценки'!$F5)+(оптимистичный!T21*'Расчет наценки'!$F9)</f>
        <v>1539113.953488372</v>
      </c>
      <c r="U31" s="82">
        <f>(U7*'Расчет наценки'!$F2)+(U12*'Расчет наценки'!$F8)+(U15*'Расчет наценки'!$F7)+(оптимистичный!U18*'Расчет наценки'!$F5)+(оптимистичный!U21*'Расчет наценки'!$F9)</f>
        <v>1590417.7519379845</v>
      </c>
      <c r="V31" s="82">
        <f>(V7*'Расчет наценки'!$F2)+(V12*'Расчет наценки'!$F8)+(V15*'Расчет наценки'!$F7)+(оптимистичный!V18*'Расчет наценки'!$F5)+(оптимистичный!V21*'Расчет наценки'!$F9)</f>
        <v>1590417.7519379845</v>
      </c>
      <c r="W31" s="82">
        <f>(W7*'Расчет наценки'!$F2)+(W12*'Расчет наценки'!$F8)+(W15*'Расчет наценки'!$F7)+(оптимистичный!W18*'Расчет наценки'!$F5)+(оптимистичный!W21*'Расчет наценки'!$F9)</f>
        <v>1539113.953488372</v>
      </c>
      <c r="X31" s="82">
        <f>(X7*'Расчет наценки'!$F2)+(X12*'Расчет наценки'!$F8)+(X15*'Расчет наценки'!$F7)+(оптимистичный!X18*'Расчет наценки'!$F5)+(оптимистичный!X21*'Расчет наценки'!$F9)</f>
        <v>1590417.7519379845</v>
      </c>
      <c r="Y31" s="82">
        <f>(Y7*'Расчет наценки'!$F2)+(Y12*'Расчет наценки'!$F8)+(Y15*'Расчет наценки'!$F7)+(оптимистичный!Y18*'Расчет наценки'!$F5)+(оптимистичный!Y21*'Расчет наценки'!$F9)</f>
        <v>1539113.953488372</v>
      </c>
      <c r="Z31" s="82">
        <f>(Z7*'Расчет наценки'!$F2)+(Z12*'Расчет наценки'!$F8)+(Z15*'Расчет наценки'!$F7)+(оптимистичный!Z18*'Расчет наценки'!$F5)+(оптимистичный!Z21*'Расчет наценки'!$F9)</f>
        <v>1590417.7519379845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7"/>
    </row>
    <row r="32" spans="1:54">
      <c r="A32" s="1" t="s">
        <v>73</v>
      </c>
      <c r="B32" s="57">
        <v>3</v>
      </c>
      <c r="C32" s="97">
        <f>B32*B33</f>
        <v>9000</v>
      </c>
      <c r="D32" s="97">
        <f t="shared" ref="D32:Z32" si="15">C32+C33</f>
        <v>9000</v>
      </c>
      <c r="E32" s="97">
        <f t="shared" si="15"/>
        <v>9000</v>
      </c>
      <c r="F32" s="97">
        <f t="shared" si="15"/>
        <v>9000</v>
      </c>
      <c r="G32" s="97">
        <f t="shared" si="15"/>
        <v>9000</v>
      </c>
      <c r="H32" s="97">
        <f t="shared" si="15"/>
        <v>9000</v>
      </c>
      <c r="I32" s="97">
        <f t="shared" si="15"/>
        <v>9000</v>
      </c>
      <c r="J32" s="97">
        <f t="shared" si="15"/>
        <v>9000</v>
      </c>
      <c r="K32" s="97">
        <f t="shared" si="15"/>
        <v>9000</v>
      </c>
      <c r="L32" s="97">
        <f t="shared" si="15"/>
        <v>9000</v>
      </c>
      <c r="M32" s="97">
        <f t="shared" si="15"/>
        <v>9000</v>
      </c>
      <c r="N32" s="97">
        <f t="shared" si="15"/>
        <v>9000</v>
      </c>
      <c r="O32" s="97">
        <f t="shared" si="15"/>
        <v>9000</v>
      </c>
      <c r="P32" s="97">
        <f t="shared" si="15"/>
        <v>9000</v>
      </c>
      <c r="Q32" s="97">
        <f t="shared" si="15"/>
        <v>9000</v>
      </c>
      <c r="R32" s="97">
        <f t="shared" si="15"/>
        <v>9000</v>
      </c>
      <c r="S32" s="97">
        <f t="shared" si="15"/>
        <v>9000</v>
      </c>
      <c r="T32" s="97">
        <f t="shared" si="15"/>
        <v>9000</v>
      </c>
      <c r="U32" s="97">
        <f t="shared" si="15"/>
        <v>9000</v>
      </c>
      <c r="V32" s="97">
        <f t="shared" si="15"/>
        <v>9000</v>
      </c>
      <c r="W32" s="97">
        <f t="shared" si="15"/>
        <v>9000</v>
      </c>
      <c r="X32" s="97">
        <f t="shared" si="15"/>
        <v>9000</v>
      </c>
      <c r="Y32" s="97">
        <f t="shared" si="15"/>
        <v>9000</v>
      </c>
      <c r="Z32" s="97">
        <f t="shared" si="15"/>
        <v>9000</v>
      </c>
      <c r="AA32" s="9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7"/>
    </row>
    <row r="33" spans="1:54">
      <c r="A33" s="1" t="s">
        <v>74</v>
      </c>
      <c r="B33" s="57">
        <v>3000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100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7"/>
    </row>
    <row r="34" spans="1:54">
      <c r="A34" s="1" t="s">
        <v>67</v>
      </c>
      <c r="B34" s="57">
        <v>1000</v>
      </c>
      <c r="C34" s="43">
        <f>$B$34</f>
        <v>1000</v>
      </c>
      <c r="D34" s="43">
        <f t="shared" ref="D34:Z34" si="16">$B$34</f>
        <v>1000</v>
      </c>
      <c r="E34" s="43">
        <f t="shared" si="16"/>
        <v>1000</v>
      </c>
      <c r="F34" s="43">
        <f t="shared" si="16"/>
        <v>1000</v>
      </c>
      <c r="G34" s="43">
        <f t="shared" si="16"/>
        <v>1000</v>
      </c>
      <c r="H34" s="43">
        <f t="shared" si="16"/>
        <v>1000</v>
      </c>
      <c r="I34" s="43">
        <f t="shared" si="16"/>
        <v>1000</v>
      </c>
      <c r="J34" s="43">
        <f t="shared" si="16"/>
        <v>1000</v>
      </c>
      <c r="K34" s="43">
        <f t="shared" si="16"/>
        <v>1000</v>
      </c>
      <c r="L34" s="43">
        <f t="shared" si="16"/>
        <v>1000</v>
      </c>
      <c r="M34" s="43">
        <f t="shared" si="16"/>
        <v>1000</v>
      </c>
      <c r="N34" s="43">
        <f t="shared" si="16"/>
        <v>1000</v>
      </c>
      <c r="O34" s="43">
        <f t="shared" si="16"/>
        <v>1000</v>
      </c>
      <c r="P34" s="43">
        <f t="shared" si="16"/>
        <v>1000</v>
      </c>
      <c r="Q34" s="43">
        <f t="shared" si="16"/>
        <v>1000</v>
      </c>
      <c r="R34" s="43">
        <f t="shared" si="16"/>
        <v>1000</v>
      </c>
      <c r="S34" s="43">
        <f t="shared" si="16"/>
        <v>1000</v>
      </c>
      <c r="T34" s="43">
        <f t="shared" si="16"/>
        <v>1000</v>
      </c>
      <c r="U34" s="43">
        <f t="shared" si="16"/>
        <v>1000</v>
      </c>
      <c r="V34" s="43">
        <f t="shared" si="16"/>
        <v>1000</v>
      </c>
      <c r="W34" s="43">
        <f t="shared" si="16"/>
        <v>1000</v>
      </c>
      <c r="X34" s="43">
        <f t="shared" si="16"/>
        <v>1000</v>
      </c>
      <c r="Y34" s="43">
        <f t="shared" si="16"/>
        <v>1000</v>
      </c>
      <c r="Z34" s="43">
        <f t="shared" si="16"/>
        <v>1000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7"/>
    </row>
    <row r="35" spans="1:54">
      <c r="A35" s="1" t="s">
        <v>64</v>
      </c>
      <c r="B35" s="62">
        <v>0</v>
      </c>
      <c r="C35" s="33">
        <v>0</v>
      </c>
      <c r="D35" s="33">
        <v>0</v>
      </c>
      <c r="E35" s="33">
        <f t="shared" ref="E35" si="17">$B$35</f>
        <v>0</v>
      </c>
      <c r="F35" s="33">
        <f t="shared" ref="F35:Z35" si="18">$B$35*E39</f>
        <v>0</v>
      </c>
      <c r="G35" s="33">
        <f t="shared" si="18"/>
        <v>0</v>
      </c>
      <c r="H35" s="33">
        <f t="shared" si="18"/>
        <v>0</v>
      </c>
      <c r="I35" s="33">
        <f t="shared" si="18"/>
        <v>0</v>
      </c>
      <c r="J35" s="33">
        <f t="shared" si="18"/>
        <v>0</v>
      </c>
      <c r="K35" s="33">
        <f t="shared" si="18"/>
        <v>0</v>
      </c>
      <c r="L35" s="33">
        <f t="shared" si="18"/>
        <v>0</v>
      </c>
      <c r="M35" s="33">
        <f t="shared" si="18"/>
        <v>0</v>
      </c>
      <c r="N35" s="33">
        <f t="shared" si="18"/>
        <v>0</v>
      </c>
      <c r="O35" s="33">
        <f t="shared" si="18"/>
        <v>0</v>
      </c>
      <c r="P35" s="33">
        <f t="shared" si="18"/>
        <v>0</v>
      </c>
      <c r="Q35" s="33">
        <f t="shared" si="18"/>
        <v>0</v>
      </c>
      <c r="R35" s="33">
        <f t="shared" si="18"/>
        <v>0</v>
      </c>
      <c r="S35" s="33">
        <f t="shared" si="18"/>
        <v>0</v>
      </c>
      <c r="T35" s="33">
        <f t="shared" si="18"/>
        <v>0</v>
      </c>
      <c r="U35" s="33">
        <f t="shared" si="18"/>
        <v>0</v>
      </c>
      <c r="V35" s="33">
        <f t="shared" si="18"/>
        <v>0</v>
      </c>
      <c r="W35" s="33">
        <f t="shared" si="18"/>
        <v>0</v>
      </c>
      <c r="X35" s="33">
        <f t="shared" si="18"/>
        <v>0</v>
      </c>
      <c r="Y35" s="33">
        <f t="shared" si="18"/>
        <v>0</v>
      </c>
      <c r="Z35" s="33">
        <f t="shared" si="18"/>
        <v>0</v>
      </c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7"/>
    </row>
    <row r="36" spans="1:54">
      <c r="A36" s="1" t="s">
        <v>68</v>
      </c>
      <c r="B36" s="56">
        <v>1000</v>
      </c>
      <c r="C36" s="43">
        <f>$B$36</f>
        <v>1000</v>
      </c>
      <c r="D36" s="43">
        <f t="shared" ref="D36:Z36" si="19">$B$36</f>
        <v>1000</v>
      </c>
      <c r="E36" s="43">
        <f t="shared" si="19"/>
        <v>1000</v>
      </c>
      <c r="F36" s="43">
        <f t="shared" si="19"/>
        <v>1000</v>
      </c>
      <c r="G36" s="43">
        <f t="shared" si="19"/>
        <v>1000</v>
      </c>
      <c r="H36" s="43">
        <f t="shared" si="19"/>
        <v>1000</v>
      </c>
      <c r="I36" s="43">
        <f t="shared" si="19"/>
        <v>1000</v>
      </c>
      <c r="J36" s="43">
        <f t="shared" si="19"/>
        <v>1000</v>
      </c>
      <c r="K36" s="43">
        <f t="shared" si="19"/>
        <v>1000</v>
      </c>
      <c r="L36" s="43">
        <f t="shared" si="19"/>
        <v>1000</v>
      </c>
      <c r="M36" s="43">
        <f t="shared" si="19"/>
        <v>1000</v>
      </c>
      <c r="N36" s="43">
        <f t="shared" si="19"/>
        <v>1000</v>
      </c>
      <c r="O36" s="43">
        <f t="shared" si="19"/>
        <v>1000</v>
      </c>
      <c r="P36" s="43">
        <f t="shared" si="19"/>
        <v>1000</v>
      </c>
      <c r="Q36" s="43">
        <f t="shared" si="19"/>
        <v>1000</v>
      </c>
      <c r="R36" s="43">
        <f t="shared" si="19"/>
        <v>1000</v>
      </c>
      <c r="S36" s="43">
        <f t="shared" si="19"/>
        <v>1000</v>
      </c>
      <c r="T36" s="43">
        <f t="shared" si="19"/>
        <v>1000</v>
      </c>
      <c r="U36" s="43">
        <f t="shared" si="19"/>
        <v>1000</v>
      </c>
      <c r="V36" s="43">
        <f t="shared" si="19"/>
        <v>1000</v>
      </c>
      <c r="W36" s="43">
        <f t="shared" si="19"/>
        <v>1000</v>
      </c>
      <c r="X36" s="43">
        <f t="shared" si="19"/>
        <v>1000</v>
      </c>
      <c r="Y36" s="43">
        <f t="shared" si="19"/>
        <v>1000</v>
      </c>
      <c r="Z36" s="43">
        <f t="shared" si="19"/>
        <v>1000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7"/>
    </row>
    <row r="37" spans="1:54">
      <c r="A37" s="1" t="s">
        <v>65</v>
      </c>
      <c r="B37" s="56">
        <f>10000</f>
        <v>10000</v>
      </c>
      <c r="C37" s="43">
        <f>$B$37</f>
        <v>10000</v>
      </c>
      <c r="D37" s="43">
        <f t="shared" ref="D37:Z37" si="20">$B$37</f>
        <v>10000</v>
      </c>
      <c r="E37" s="43">
        <f t="shared" si="20"/>
        <v>10000</v>
      </c>
      <c r="F37" s="43">
        <f t="shared" si="20"/>
        <v>10000</v>
      </c>
      <c r="G37" s="43">
        <f t="shared" si="20"/>
        <v>10000</v>
      </c>
      <c r="H37" s="43">
        <f t="shared" si="20"/>
        <v>10000</v>
      </c>
      <c r="I37" s="43">
        <f t="shared" si="20"/>
        <v>10000</v>
      </c>
      <c r="J37" s="43">
        <f t="shared" si="20"/>
        <v>10000</v>
      </c>
      <c r="K37" s="43">
        <f t="shared" si="20"/>
        <v>10000</v>
      </c>
      <c r="L37" s="43">
        <f t="shared" si="20"/>
        <v>10000</v>
      </c>
      <c r="M37" s="43">
        <f t="shared" si="20"/>
        <v>10000</v>
      </c>
      <c r="N37" s="43">
        <f t="shared" si="20"/>
        <v>10000</v>
      </c>
      <c r="O37" s="43">
        <f t="shared" si="20"/>
        <v>10000</v>
      </c>
      <c r="P37" s="43">
        <f t="shared" si="20"/>
        <v>10000</v>
      </c>
      <c r="Q37" s="43">
        <f t="shared" si="20"/>
        <v>10000</v>
      </c>
      <c r="R37" s="43">
        <f t="shared" si="20"/>
        <v>10000</v>
      </c>
      <c r="S37" s="43">
        <f t="shared" si="20"/>
        <v>10000</v>
      </c>
      <c r="T37" s="43">
        <f t="shared" si="20"/>
        <v>10000</v>
      </c>
      <c r="U37" s="43">
        <f t="shared" si="20"/>
        <v>10000</v>
      </c>
      <c r="V37" s="43">
        <f t="shared" si="20"/>
        <v>10000</v>
      </c>
      <c r="W37" s="43">
        <f t="shared" si="20"/>
        <v>10000</v>
      </c>
      <c r="X37" s="43">
        <f t="shared" si="20"/>
        <v>10000</v>
      </c>
      <c r="Y37" s="43">
        <f t="shared" si="20"/>
        <v>10000</v>
      </c>
      <c r="Z37" s="43">
        <f t="shared" si="20"/>
        <v>10000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7"/>
    </row>
    <row r="38" spans="1:54">
      <c r="A38" s="1" t="s">
        <v>70</v>
      </c>
      <c r="B38" s="57">
        <f>2000*4</f>
        <v>8000</v>
      </c>
      <c r="C38" s="43">
        <f>$B$38</f>
        <v>8000</v>
      </c>
      <c r="D38" s="43">
        <f t="shared" ref="D38:Z38" si="21">$B$38</f>
        <v>8000</v>
      </c>
      <c r="E38" s="43">
        <f t="shared" si="21"/>
        <v>8000</v>
      </c>
      <c r="F38" s="43">
        <f t="shared" si="21"/>
        <v>8000</v>
      </c>
      <c r="G38" s="43">
        <f t="shared" si="21"/>
        <v>8000</v>
      </c>
      <c r="H38" s="43">
        <f t="shared" si="21"/>
        <v>8000</v>
      </c>
      <c r="I38" s="43">
        <f t="shared" si="21"/>
        <v>8000</v>
      </c>
      <c r="J38" s="43">
        <f t="shared" si="21"/>
        <v>8000</v>
      </c>
      <c r="K38" s="43">
        <f t="shared" si="21"/>
        <v>8000</v>
      </c>
      <c r="L38" s="43">
        <f t="shared" si="21"/>
        <v>8000</v>
      </c>
      <c r="M38" s="43">
        <f t="shared" si="21"/>
        <v>8000</v>
      </c>
      <c r="N38" s="43">
        <f t="shared" si="21"/>
        <v>8000</v>
      </c>
      <c r="O38" s="43">
        <f t="shared" si="21"/>
        <v>8000</v>
      </c>
      <c r="P38" s="43">
        <f t="shared" si="21"/>
        <v>8000</v>
      </c>
      <c r="Q38" s="43">
        <f t="shared" si="21"/>
        <v>8000</v>
      </c>
      <c r="R38" s="43">
        <f t="shared" si="21"/>
        <v>8000</v>
      </c>
      <c r="S38" s="43">
        <f t="shared" si="21"/>
        <v>8000</v>
      </c>
      <c r="T38" s="43">
        <f t="shared" si="21"/>
        <v>8000</v>
      </c>
      <c r="U38" s="43">
        <f t="shared" si="21"/>
        <v>8000</v>
      </c>
      <c r="V38" s="43">
        <f t="shared" si="21"/>
        <v>8000</v>
      </c>
      <c r="W38" s="43">
        <f t="shared" si="21"/>
        <v>8000</v>
      </c>
      <c r="X38" s="43">
        <f t="shared" si="21"/>
        <v>8000</v>
      </c>
      <c r="Y38" s="43">
        <f t="shared" si="21"/>
        <v>8000</v>
      </c>
      <c r="Z38" s="43">
        <f t="shared" si="21"/>
        <v>8000</v>
      </c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7"/>
    </row>
    <row r="39" spans="1:54">
      <c r="A39" s="54" t="s">
        <v>84</v>
      </c>
      <c r="B39" s="61">
        <v>0.15</v>
      </c>
      <c r="C39" s="43">
        <v>0</v>
      </c>
      <c r="D39" s="43">
        <v>0</v>
      </c>
      <c r="E39" s="43">
        <f>B48*B49*B50*B51*B32*3*B39*50%</f>
        <v>2184.5700000000002</v>
      </c>
      <c r="F39" s="43">
        <v>0</v>
      </c>
      <c r="G39" s="43">
        <v>0</v>
      </c>
      <c r="H39" s="43">
        <f>E39</f>
        <v>2184.5700000000002</v>
      </c>
      <c r="I39" s="43">
        <v>0</v>
      </c>
      <c r="J39" s="43">
        <v>0</v>
      </c>
      <c r="K39" s="43">
        <f>H39</f>
        <v>2184.5700000000002</v>
      </c>
      <c r="L39" s="43">
        <v>0</v>
      </c>
      <c r="M39" s="43">
        <v>0</v>
      </c>
      <c r="N39" s="43">
        <f>E39</f>
        <v>2184.5700000000002</v>
      </c>
      <c r="O39" s="43">
        <v>0</v>
      </c>
      <c r="P39" s="43">
        <v>0</v>
      </c>
      <c r="Q39" s="43">
        <f>N39</f>
        <v>2184.5700000000002</v>
      </c>
      <c r="R39" s="43">
        <v>0</v>
      </c>
      <c r="S39" s="43">
        <v>0</v>
      </c>
      <c r="T39" s="43">
        <f>Q39</f>
        <v>2184.5700000000002</v>
      </c>
      <c r="U39" s="43">
        <v>0</v>
      </c>
      <c r="V39" s="43">
        <v>0</v>
      </c>
      <c r="W39" s="43">
        <f>T39</f>
        <v>2184.5700000000002</v>
      </c>
      <c r="X39" s="43">
        <v>0</v>
      </c>
      <c r="Y39" s="43">
        <v>0</v>
      </c>
      <c r="Z39" s="43">
        <f>W39</f>
        <v>2184.5700000000002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7"/>
    </row>
    <row r="40" spans="1:54">
      <c r="A40" s="54" t="s">
        <v>85</v>
      </c>
      <c r="B40" s="59">
        <v>7.0000000000000007E-2</v>
      </c>
      <c r="C40" s="33">
        <f>IF(C39*$B$40&gt;=0,C39*$B$40,0)</f>
        <v>0</v>
      </c>
      <c r="D40" s="33">
        <f>IF(D39*$B$40&gt;=0,D39*$B$40,0)</f>
        <v>0</v>
      </c>
      <c r="E40" s="33">
        <f>IF((C6+D6+E6-C24-D24-E24)&gt;=0,(C6+D6+E6-C24-D24-E24)*$B$40,(C6+D6+E6)*1%)</f>
        <v>78479.80276744187</v>
      </c>
      <c r="F40" s="33">
        <v>0</v>
      </c>
      <c r="G40" s="33">
        <v>0</v>
      </c>
      <c r="H40" s="33">
        <f>IF((F6+G6+H6-F24-G24-H24)&gt;=0,(F6+G6+H6-F24-G24-H24)*$B$40,(F6+G6+H6)*1%)</f>
        <v>59156.036875969032</v>
      </c>
      <c r="I40" s="33">
        <v>0</v>
      </c>
      <c r="J40" s="33">
        <v>0</v>
      </c>
      <c r="K40" s="33">
        <f>IF((I6+J6+K6-I24-J24-K24)&gt;=0,(I6+J6+K6-I24-J24-K24)*$B$40,(I6+J6+K6)*1%)</f>
        <v>60429.770984496114</v>
      </c>
      <c r="L40" s="33">
        <v>0</v>
      </c>
      <c r="M40" s="33">
        <v>0</v>
      </c>
      <c r="N40" s="33">
        <f>IF((L6+M6+N6-L24-M24-N24)&gt;=0,(L6+M6+N6-L24-M24-N24)*$B$40,(L6+M6+N6)*1%)</f>
        <v>60916.270984496128</v>
      </c>
      <c r="O40" s="33">
        <v>0</v>
      </c>
      <c r="P40" s="33">
        <v>0</v>
      </c>
      <c r="Q40" s="33">
        <f>IF((O6+P6+Q6-O24-P24-Q24)&gt;=0,(O6+P6+Q6-O24-P24-Q24)*$B$40,(O6+P6+Q6)*1%)</f>
        <v>58855.30276744187</v>
      </c>
      <c r="R40" s="33">
        <v>0</v>
      </c>
      <c r="S40" s="33">
        <v>0</v>
      </c>
      <c r="T40" s="33">
        <f>IF((R6+S6+T6-R24-S24-T24)&gt;=0,(R6+S6+T6-R24-S24-T24)*$B$40,(R6+S6+T6)*1%)</f>
        <v>59156.036875969032</v>
      </c>
      <c r="U40" s="33">
        <v>0</v>
      </c>
      <c r="V40" s="33">
        <v>0</v>
      </c>
      <c r="W40" s="33">
        <f>IF((U6+V6+W6-U24-V24-W24)&gt;=0,(U6+V6+W6-U24-V24-W24)*$B$40,(U6+V6+W6)*1%)</f>
        <v>60429.770984496114</v>
      </c>
      <c r="X40" s="33">
        <v>0</v>
      </c>
      <c r="Y40" s="33">
        <v>0</v>
      </c>
      <c r="Z40" s="33">
        <f>IF((X6+Y6+Z6-X24-Y24-Z24)&gt;=0,(X6+Y6+Z6-X24-Y24-Z24)*$B$40,(X6+Y6+Z6)*1%)</f>
        <v>60916.270984496128</v>
      </c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7"/>
    </row>
    <row r="41" spans="1:54">
      <c r="A41" s="32" t="s">
        <v>94</v>
      </c>
      <c r="B41" s="52">
        <f>-B2</f>
        <v>-176000</v>
      </c>
      <c r="C41" s="36">
        <f>C6-C24-C39</f>
        <v>562759.54806201556</v>
      </c>
      <c r="D41" s="36">
        <f t="shared" ref="D41:Z41" si="22">D6-D24-D39</f>
        <v>265620.94341085269</v>
      </c>
      <c r="E41" s="36">
        <f t="shared" si="22"/>
        <v>290574.97806201555</v>
      </c>
      <c r="F41" s="36">
        <f t="shared" si="22"/>
        <v>273313.34651162801</v>
      </c>
      <c r="G41" s="36">
        <f t="shared" si="22"/>
        <v>298459.54806201556</v>
      </c>
      <c r="H41" s="36">
        <f t="shared" si="22"/>
        <v>271128.77651162801</v>
      </c>
      <c r="I41" s="36">
        <f t="shared" si="22"/>
        <v>298459.54806201556</v>
      </c>
      <c r="J41" s="36">
        <f t="shared" si="22"/>
        <v>291509.54806201556</v>
      </c>
      <c r="K41" s="36">
        <f t="shared" si="22"/>
        <v>271128.77651162801</v>
      </c>
      <c r="L41" s="36">
        <f t="shared" si="22"/>
        <v>298459.54806201556</v>
      </c>
      <c r="M41" s="36">
        <f t="shared" si="22"/>
        <v>273313.34651162801</v>
      </c>
      <c r="N41" s="36">
        <f t="shared" si="22"/>
        <v>296274.97806201555</v>
      </c>
      <c r="O41" s="36">
        <f t="shared" si="22"/>
        <v>291509.54806201556</v>
      </c>
      <c r="P41" s="36">
        <f t="shared" si="22"/>
        <v>236920.94341085269</v>
      </c>
      <c r="Q41" s="36">
        <f t="shared" si="22"/>
        <v>310174.97806201555</v>
      </c>
      <c r="R41" s="36">
        <f t="shared" si="22"/>
        <v>273313.34651162801</v>
      </c>
      <c r="S41" s="36">
        <f t="shared" si="22"/>
        <v>298459.54806201556</v>
      </c>
      <c r="T41" s="36">
        <f t="shared" si="22"/>
        <v>271128.77651162801</v>
      </c>
      <c r="U41" s="36">
        <f t="shared" si="22"/>
        <v>298459.54806201556</v>
      </c>
      <c r="V41" s="36">
        <f t="shared" si="22"/>
        <v>291509.54806201556</v>
      </c>
      <c r="W41" s="36">
        <f t="shared" si="22"/>
        <v>271128.77651162801</v>
      </c>
      <c r="X41" s="36">
        <f t="shared" si="22"/>
        <v>298459.54806201556</v>
      </c>
      <c r="Y41" s="36">
        <f t="shared" si="22"/>
        <v>273313.34651162801</v>
      </c>
      <c r="Z41" s="36">
        <f t="shared" si="22"/>
        <v>296274.97806201555</v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7"/>
    </row>
    <row r="42" spans="1:54">
      <c r="A42" s="1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8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7"/>
    </row>
    <row r="43" spans="1:54">
      <c r="A43" s="4" t="s">
        <v>69</v>
      </c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8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7"/>
    </row>
    <row r="44" spans="1:54">
      <c r="A44" s="32" t="s">
        <v>31</v>
      </c>
      <c r="B44" s="35">
        <f>-B2</f>
        <v>-176000</v>
      </c>
      <c r="C44" s="36">
        <f>B44+C41</f>
        <v>386759.54806201556</v>
      </c>
      <c r="D44" s="36">
        <f t="shared" ref="D44:Z44" si="23">C44+D41</f>
        <v>652380.49147286825</v>
      </c>
      <c r="E44" s="36">
        <f t="shared" si="23"/>
        <v>942955.46953488374</v>
      </c>
      <c r="F44" s="36">
        <f t="shared" si="23"/>
        <v>1216268.8160465118</v>
      </c>
      <c r="G44" s="36">
        <f t="shared" si="23"/>
        <v>1514728.3641085273</v>
      </c>
      <c r="H44" s="36">
        <f t="shared" si="23"/>
        <v>1785857.1406201553</v>
      </c>
      <c r="I44" s="36">
        <f t="shared" si="23"/>
        <v>2084316.6886821708</v>
      </c>
      <c r="J44" s="36">
        <f t="shared" si="23"/>
        <v>2375826.2367441864</v>
      </c>
      <c r="K44" s="36">
        <f t="shared" si="23"/>
        <v>2646955.0132558146</v>
      </c>
      <c r="L44" s="36">
        <f t="shared" si="23"/>
        <v>2945414.5613178303</v>
      </c>
      <c r="M44" s="36">
        <f t="shared" si="23"/>
        <v>3218727.9078294584</v>
      </c>
      <c r="N44" s="36">
        <f t="shared" si="23"/>
        <v>3515002.8858914739</v>
      </c>
      <c r="O44" s="36">
        <f t="shared" si="23"/>
        <v>3806512.4339534892</v>
      </c>
      <c r="P44" s="36">
        <f t="shared" si="23"/>
        <v>4043433.3773643421</v>
      </c>
      <c r="Q44" s="36">
        <f t="shared" si="23"/>
        <v>4353608.3554263581</v>
      </c>
      <c r="R44" s="36">
        <f t="shared" si="23"/>
        <v>4626921.7019379865</v>
      </c>
      <c r="S44" s="36">
        <f t="shared" si="23"/>
        <v>4925381.2500000019</v>
      </c>
      <c r="T44" s="36">
        <f t="shared" si="23"/>
        <v>5196510.02651163</v>
      </c>
      <c r="U44" s="36">
        <f t="shared" si="23"/>
        <v>5494969.5745736454</v>
      </c>
      <c r="V44" s="36">
        <f t="shared" si="23"/>
        <v>5786479.1226356607</v>
      </c>
      <c r="W44" s="36">
        <f t="shared" si="23"/>
        <v>6057607.8991472889</v>
      </c>
      <c r="X44" s="36">
        <f t="shared" si="23"/>
        <v>6356067.4472093042</v>
      </c>
      <c r="Y44" s="36">
        <f t="shared" si="23"/>
        <v>6629380.7937209327</v>
      </c>
      <c r="Z44" s="36">
        <f t="shared" si="23"/>
        <v>6925655.7717829486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7"/>
    </row>
    <row r="45" spans="1:54">
      <c r="A45" s="4" t="s">
        <v>90</v>
      </c>
      <c r="B45" s="2"/>
      <c r="K45" s="53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</row>
    <row r="46" spans="1:54">
      <c r="A46" s="1" t="s">
        <v>91</v>
      </c>
      <c r="B46" s="68">
        <v>9445</v>
      </c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</row>
    <row r="47" spans="1:54" hidden="1">
      <c r="A47" s="67" t="s">
        <v>50</v>
      </c>
      <c r="B47" s="68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</row>
    <row r="48" spans="1:54">
      <c r="A48" s="1" t="s">
        <v>86</v>
      </c>
      <c r="B48" s="62">
        <v>1800</v>
      </c>
      <c r="C48" s="51"/>
      <c r="D48" s="51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</row>
    <row r="49" spans="1:54">
      <c r="A49" s="1" t="s">
        <v>88</v>
      </c>
      <c r="B49" s="66">
        <v>1</v>
      </c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</row>
    <row r="50" spans="1:54">
      <c r="A50" s="1" t="s">
        <v>87</v>
      </c>
      <c r="B50" s="66">
        <v>1.798</v>
      </c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</row>
    <row r="51" spans="1:54">
      <c r="A51" s="1" t="s">
        <v>89</v>
      </c>
      <c r="B51" s="62">
        <v>1</v>
      </c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</row>
    <row r="52" spans="1:54"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</row>
    <row r="53" spans="1:54"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</row>
    <row r="54" spans="1:54"/>
    <row r="55" spans="1:54"/>
    <row r="56" spans="1:54"/>
    <row r="57" spans="1:54"/>
    <row r="58" spans="1:54"/>
    <row r="59" spans="1:54"/>
    <row r="60" spans="1:54"/>
    <row r="61" spans="1:54"/>
    <row r="62" spans="1:54"/>
    <row r="63" spans="1:54"/>
    <row r="64" spans="1:5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mergeCells count="25">
    <mergeCell ref="AA32:AA33"/>
    <mergeCell ref="U32:U33"/>
    <mergeCell ref="V32:V33"/>
    <mergeCell ref="W32:W33"/>
    <mergeCell ref="X32:X33"/>
    <mergeCell ref="Y32:Y33"/>
    <mergeCell ref="Z32:Z33"/>
    <mergeCell ref="T32:T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H32:H33"/>
    <mergeCell ref="C32:C33"/>
    <mergeCell ref="D32:D33"/>
    <mergeCell ref="E32:E33"/>
    <mergeCell ref="F32:F33"/>
    <mergeCell ref="G32:G33"/>
  </mergeCells>
  <pageMargins left="0.75" right="0.75" top="1" bottom="1" header="0.5" footer="0.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C3" sqref="C3"/>
    </sheetView>
  </sheetViews>
  <sheetFormatPr defaultRowHeight="13.2"/>
  <cols>
    <col min="1" max="1" width="14.6640625" customWidth="1"/>
    <col min="2" max="2" width="17" customWidth="1"/>
    <col min="3" max="3" width="24.33203125" customWidth="1"/>
    <col min="6" max="6" width="17.6640625" customWidth="1"/>
    <col min="7" max="7" width="12.6640625" customWidth="1"/>
  </cols>
  <sheetData>
    <row r="1" spans="1:7" ht="26.4">
      <c r="A1" s="22"/>
      <c r="B1" s="89" t="s">
        <v>101</v>
      </c>
      <c r="C1" s="89" t="s">
        <v>102</v>
      </c>
      <c r="D1" s="84" t="s">
        <v>103</v>
      </c>
      <c r="E1" s="84" t="s">
        <v>93</v>
      </c>
      <c r="F1" s="87" t="s">
        <v>114</v>
      </c>
    </row>
    <row r="2" spans="1:7">
      <c r="A2" s="22" t="s">
        <v>104</v>
      </c>
      <c r="B2" s="85">
        <v>4500</v>
      </c>
      <c r="C2" s="85">
        <v>6000</v>
      </c>
      <c r="D2" s="85">
        <f>C2-B2</f>
        <v>1500</v>
      </c>
      <c r="E2" s="86">
        <f>C2/B2-1</f>
        <v>0.33333333333333326</v>
      </c>
      <c r="F2" s="95">
        <f>B2*100/C2/100</f>
        <v>0.75</v>
      </c>
    </row>
    <row r="3" spans="1:7">
      <c r="A3" s="22" t="s">
        <v>105</v>
      </c>
      <c r="B3" s="85">
        <v>100</v>
      </c>
      <c r="C3" s="85">
        <v>200</v>
      </c>
      <c r="D3" s="85">
        <f t="shared" ref="D3:D9" si="0">C3-B3</f>
        <v>100</v>
      </c>
      <c r="E3" s="86">
        <f t="shared" ref="E3:E9" si="1">C3/B3-1</f>
        <v>1</v>
      </c>
      <c r="F3" s="95">
        <f t="shared" ref="F3:F9" si="2">B3*100/C3/100</f>
        <v>0.5</v>
      </c>
    </row>
    <row r="4" spans="1:7">
      <c r="A4" s="22" t="s">
        <v>106</v>
      </c>
      <c r="B4" s="85">
        <v>500</v>
      </c>
      <c r="C4" s="85">
        <v>1000</v>
      </c>
      <c r="D4" s="85">
        <f t="shared" si="0"/>
        <v>500</v>
      </c>
      <c r="E4" s="86">
        <f t="shared" si="1"/>
        <v>1</v>
      </c>
      <c r="F4" s="95">
        <f t="shared" si="2"/>
        <v>0.5</v>
      </c>
    </row>
    <row r="5" spans="1:7">
      <c r="A5" s="22" t="s">
        <v>107</v>
      </c>
      <c r="B5" s="85">
        <v>200</v>
      </c>
      <c r="C5" s="85">
        <v>350</v>
      </c>
      <c r="D5" s="85">
        <f t="shared" si="0"/>
        <v>150</v>
      </c>
      <c r="E5" s="86">
        <f t="shared" si="1"/>
        <v>0.75</v>
      </c>
      <c r="F5" s="95">
        <f t="shared" si="2"/>
        <v>0.57142857142857151</v>
      </c>
    </row>
    <row r="6" spans="1:7">
      <c r="A6" s="22" t="s">
        <v>108</v>
      </c>
      <c r="B6" s="85">
        <v>500</v>
      </c>
      <c r="C6" s="85">
        <v>990</v>
      </c>
      <c r="D6" s="85">
        <f t="shared" si="0"/>
        <v>490</v>
      </c>
      <c r="E6" s="86">
        <f t="shared" si="1"/>
        <v>0.98</v>
      </c>
      <c r="F6" s="95">
        <f t="shared" si="2"/>
        <v>0.50505050505050508</v>
      </c>
      <c r="G6" s="101"/>
    </row>
    <row r="7" spans="1:7">
      <c r="A7" s="22" t="s">
        <v>109</v>
      </c>
      <c r="B7" s="85">
        <v>700</v>
      </c>
      <c r="C7" s="85">
        <v>1290</v>
      </c>
      <c r="D7" s="85">
        <f t="shared" si="0"/>
        <v>590</v>
      </c>
      <c r="E7" s="86">
        <f t="shared" si="1"/>
        <v>0.84285714285714275</v>
      </c>
      <c r="F7" s="95">
        <f t="shared" si="2"/>
        <v>0.54263565891472865</v>
      </c>
      <c r="G7" s="102"/>
    </row>
    <row r="8" spans="1:7" ht="39.6">
      <c r="A8" s="87" t="s">
        <v>110</v>
      </c>
      <c r="B8" s="85">
        <v>2600</v>
      </c>
      <c r="C8" s="85">
        <v>3500</v>
      </c>
      <c r="D8" s="85">
        <f t="shared" si="0"/>
        <v>900</v>
      </c>
      <c r="E8" s="86">
        <f t="shared" si="1"/>
        <v>0.34615384615384626</v>
      </c>
      <c r="F8" s="95">
        <f t="shared" si="2"/>
        <v>0.74285714285714288</v>
      </c>
    </row>
    <row r="9" spans="1:7">
      <c r="A9" s="22" t="s">
        <v>111</v>
      </c>
      <c r="B9" s="85">
        <v>1200</v>
      </c>
      <c r="C9" s="85">
        <v>2000</v>
      </c>
      <c r="D9" s="85">
        <f t="shared" si="0"/>
        <v>800</v>
      </c>
      <c r="E9" s="86">
        <f t="shared" si="1"/>
        <v>0.66666666666666674</v>
      </c>
      <c r="F9" s="95">
        <f t="shared" si="2"/>
        <v>0.6</v>
      </c>
    </row>
    <row r="10" spans="1:7">
      <c r="D10" t="s">
        <v>112</v>
      </c>
      <c r="E10" s="88">
        <f>AVERAGE(E2:E9)</f>
        <v>0.73987637362637348</v>
      </c>
    </row>
    <row r="12" spans="1:7">
      <c r="C12" s="96"/>
    </row>
    <row r="13" spans="1:7">
      <c r="C13" s="96"/>
    </row>
  </sheetData>
  <mergeCells count="1">
    <mergeCell ref="G6: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>
      <selection activeCell="C8" sqref="C8"/>
    </sheetView>
  </sheetViews>
  <sheetFormatPr defaultRowHeight="13.8"/>
  <cols>
    <col min="1" max="1" width="48.5546875" style="5" customWidth="1"/>
    <col min="2" max="2" width="12.109375" style="6" bestFit="1" customWidth="1"/>
    <col min="3" max="3" width="9.109375" style="7" bestFit="1" customWidth="1"/>
    <col min="4" max="6" width="10.33203125" style="7" customWidth="1"/>
    <col min="7" max="9" width="12.109375" style="7" bestFit="1" customWidth="1"/>
  </cols>
  <sheetData>
    <row r="1" spans="1:14">
      <c r="A1" s="1"/>
      <c r="B1" s="8" t="s">
        <v>8</v>
      </c>
      <c r="C1" s="9" t="s">
        <v>34</v>
      </c>
      <c r="D1" s="9" t="s">
        <v>35</v>
      </c>
      <c r="E1" s="9" t="s">
        <v>36</v>
      </c>
      <c r="F1" s="9" t="s">
        <v>37</v>
      </c>
      <c r="G1" s="9" t="s">
        <v>38</v>
      </c>
      <c r="H1" s="9" t="s">
        <v>39</v>
      </c>
      <c r="I1" s="9" t="s">
        <v>40</v>
      </c>
      <c r="J1" s="9" t="s">
        <v>41</v>
      </c>
      <c r="K1" s="9" t="s">
        <v>42</v>
      </c>
      <c r="L1" s="9" t="s">
        <v>43</v>
      </c>
      <c r="M1" s="9" t="s">
        <v>44</v>
      </c>
      <c r="N1" s="9" t="s">
        <v>45</v>
      </c>
    </row>
    <row r="2" spans="1:14">
      <c r="A2" s="4" t="s">
        <v>14</v>
      </c>
      <c r="B2" s="16">
        <f>B4+B5+B6+B7</f>
        <v>335000</v>
      </c>
      <c r="C2" s="3"/>
      <c r="D2" s="3"/>
      <c r="E2" s="3"/>
      <c r="F2" s="3"/>
      <c r="G2" s="3"/>
      <c r="H2" s="3"/>
      <c r="I2" s="3"/>
      <c r="J2" s="22"/>
      <c r="K2" s="22"/>
      <c r="L2" s="22"/>
      <c r="M2" s="22"/>
      <c r="N2" s="22"/>
    </row>
    <row r="3" spans="1:14" ht="14.4">
      <c r="A3" s="19" t="s">
        <v>16</v>
      </c>
      <c r="B3" s="18">
        <v>4</v>
      </c>
      <c r="C3" s="18">
        <v>4</v>
      </c>
      <c r="D3" s="18">
        <v>4</v>
      </c>
      <c r="E3" s="18">
        <v>4</v>
      </c>
      <c r="F3" s="18">
        <v>4</v>
      </c>
      <c r="G3" s="18">
        <v>4</v>
      </c>
      <c r="H3" s="18">
        <v>4</v>
      </c>
      <c r="I3" s="18">
        <v>4</v>
      </c>
      <c r="J3" s="18">
        <v>4</v>
      </c>
      <c r="K3" s="18">
        <v>4</v>
      </c>
      <c r="L3" s="18">
        <v>4</v>
      </c>
      <c r="M3" s="18">
        <v>4</v>
      </c>
      <c r="N3" s="18">
        <v>4</v>
      </c>
    </row>
    <row r="4" spans="1:14" s="11" customFormat="1">
      <c r="A4" s="10" t="s">
        <v>17</v>
      </c>
      <c r="B4" s="12">
        <f>B3*25000</f>
        <v>100000</v>
      </c>
      <c r="C4" s="13"/>
      <c r="D4" s="13"/>
      <c r="E4" s="13"/>
      <c r="F4" s="13"/>
      <c r="G4" s="13"/>
      <c r="H4" s="13"/>
      <c r="I4" s="13"/>
      <c r="J4" s="23"/>
      <c r="K4" s="23"/>
      <c r="L4" s="23"/>
      <c r="M4" s="23"/>
      <c r="N4" s="23"/>
    </row>
    <row r="5" spans="1:14" ht="14.4">
      <c r="A5" s="1" t="s">
        <v>32</v>
      </c>
      <c r="B5" s="21">
        <f>B3*50000</f>
        <v>200000</v>
      </c>
      <c r="C5" s="15" t="s">
        <v>7</v>
      </c>
      <c r="D5" s="15" t="s">
        <v>7</v>
      </c>
      <c r="E5" s="15" t="s">
        <v>7</v>
      </c>
      <c r="F5" s="15" t="s">
        <v>7</v>
      </c>
      <c r="G5" s="15" t="s">
        <v>7</v>
      </c>
      <c r="H5" s="15" t="s">
        <v>7</v>
      </c>
      <c r="I5" s="15" t="s">
        <v>7</v>
      </c>
      <c r="J5" s="22"/>
      <c r="K5" s="22"/>
      <c r="L5" s="22"/>
      <c r="M5" s="22"/>
      <c r="N5" s="22"/>
    </row>
    <row r="6" spans="1:14">
      <c r="A6" s="1" t="s">
        <v>15</v>
      </c>
      <c r="B6" s="14">
        <v>20000</v>
      </c>
      <c r="C6" s="15"/>
      <c r="D6" s="15"/>
      <c r="E6" s="15"/>
      <c r="F6" s="15"/>
      <c r="G6" s="15"/>
      <c r="H6" s="15"/>
      <c r="I6" s="15"/>
      <c r="J6" s="22"/>
      <c r="K6" s="22"/>
      <c r="L6" s="22"/>
      <c r="M6" s="22"/>
      <c r="N6" s="22"/>
    </row>
    <row r="7" spans="1:14">
      <c r="A7" s="1" t="s">
        <v>25</v>
      </c>
      <c r="B7" s="14">
        <v>15000</v>
      </c>
      <c r="C7" s="15"/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</row>
    <row r="8" spans="1:14">
      <c r="A8" s="27" t="s">
        <v>49</v>
      </c>
      <c r="B8" s="26">
        <f>136000</f>
        <v>136000</v>
      </c>
      <c r="C8" s="28">
        <v>0.81299999999999994</v>
      </c>
      <c r="D8" s="28">
        <v>1</v>
      </c>
      <c r="E8" s="28">
        <v>1.5</v>
      </c>
      <c r="F8" s="28">
        <v>0.878</v>
      </c>
      <c r="G8" s="28">
        <v>0.71499999999999997</v>
      </c>
      <c r="H8" s="28">
        <v>1</v>
      </c>
      <c r="I8" s="28">
        <v>0.878</v>
      </c>
      <c r="J8" s="29">
        <v>0.84599999999999997</v>
      </c>
      <c r="K8" s="29">
        <v>0.748</v>
      </c>
      <c r="L8" s="29">
        <v>0.878</v>
      </c>
      <c r="M8" s="29">
        <v>1.1060000000000001</v>
      </c>
      <c r="N8" s="29">
        <v>2.34</v>
      </c>
    </row>
    <row r="9" spans="1:14">
      <c r="A9" s="4" t="s">
        <v>20</v>
      </c>
      <c r="B9" s="16" t="s">
        <v>7</v>
      </c>
      <c r="C9" s="17">
        <f>$B$8*C8</f>
        <v>110567.99999999999</v>
      </c>
      <c r="D9" s="17">
        <f t="shared" ref="D9:N9" si="0">$B$8*D8</f>
        <v>136000</v>
      </c>
      <c r="E9" s="17">
        <f t="shared" si="0"/>
        <v>204000</v>
      </c>
      <c r="F9" s="17">
        <f t="shared" si="0"/>
        <v>119408</v>
      </c>
      <c r="G9" s="17">
        <f t="shared" si="0"/>
        <v>97240</v>
      </c>
      <c r="H9" s="17">
        <f t="shared" si="0"/>
        <v>136000</v>
      </c>
      <c r="I9" s="17">
        <f t="shared" si="0"/>
        <v>119408</v>
      </c>
      <c r="J9" s="17">
        <f t="shared" si="0"/>
        <v>115056</v>
      </c>
      <c r="K9" s="17">
        <f t="shared" si="0"/>
        <v>101728</v>
      </c>
      <c r="L9" s="17">
        <f t="shared" si="0"/>
        <v>119408</v>
      </c>
      <c r="M9" s="17">
        <f t="shared" si="0"/>
        <v>150416</v>
      </c>
      <c r="N9" s="17">
        <f t="shared" si="0"/>
        <v>318240</v>
      </c>
    </row>
    <row r="10" spans="1:14">
      <c r="A10" s="1" t="s">
        <v>18</v>
      </c>
      <c r="B10" s="16"/>
      <c r="C10" s="15">
        <f>C11/0.0015</f>
        <v>122853.33333333331</v>
      </c>
      <c r="D10" s="15">
        <f t="shared" ref="D10:N10" si="1">D11/0.0015</f>
        <v>143915.34391534392</v>
      </c>
      <c r="E10" s="15">
        <f t="shared" si="1"/>
        <v>170000</v>
      </c>
      <c r="F10" s="15">
        <f t="shared" si="1"/>
        <v>118813.9303482587</v>
      </c>
      <c r="G10" s="15">
        <f t="shared" si="1"/>
        <v>96756.218905472633</v>
      </c>
      <c r="H10" s="15">
        <f t="shared" si="1"/>
        <v>129523.80952380951</v>
      </c>
      <c r="I10" s="15">
        <f t="shared" si="1"/>
        <v>113721.90476190475</v>
      </c>
      <c r="J10" s="15">
        <f t="shared" si="1"/>
        <v>109577.14285714286</v>
      </c>
      <c r="K10" s="15">
        <f t="shared" si="1"/>
        <v>96883.809523809527</v>
      </c>
      <c r="L10" s="15">
        <f t="shared" si="1"/>
        <v>113721.90476190475</v>
      </c>
      <c r="M10" s="15">
        <f t="shared" si="1"/>
        <v>143253.33333333331</v>
      </c>
      <c r="N10" s="15">
        <f t="shared" si="1"/>
        <v>212160</v>
      </c>
    </row>
    <row r="11" spans="1:14">
      <c r="A11" s="1" t="s">
        <v>19</v>
      </c>
      <c r="B11" s="16"/>
      <c r="C11" s="15">
        <f>C9/C12</f>
        <v>184.27999999999997</v>
      </c>
      <c r="D11" s="15">
        <f t="shared" ref="D11:N11" si="2">D9/D12</f>
        <v>215.87301587301587</v>
      </c>
      <c r="E11" s="15">
        <f t="shared" si="2"/>
        <v>255</v>
      </c>
      <c r="F11" s="15">
        <f t="shared" si="2"/>
        <v>178.22089552238805</v>
      </c>
      <c r="G11" s="15">
        <f t="shared" si="2"/>
        <v>145.13432835820896</v>
      </c>
      <c r="H11" s="15">
        <f t="shared" si="2"/>
        <v>194.28571428571428</v>
      </c>
      <c r="I11" s="15">
        <f t="shared" si="2"/>
        <v>170.58285714285714</v>
      </c>
      <c r="J11" s="15">
        <f t="shared" si="2"/>
        <v>164.36571428571429</v>
      </c>
      <c r="K11" s="15">
        <f t="shared" si="2"/>
        <v>145.3257142857143</v>
      </c>
      <c r="L11" s="15">
        <f t="shared" si="2"/>
        <v>170.58285714285714</v>
      </c>
      <c r="M11" s="15">
        <f t="shared" si="2"/>
        <v>214.88</v>
      </c>
      <c r="N11" s="15">
        <f t="shared" si="2"/>
        <v>318.24</v>
      </c>
    </row>
    <row r="12" spans="1:14">
      <c r="A12" s="1" t="s">
        <v>21</v>
      </c>
      <c r="B12" s="16"/>
      <c r="C12" s="15">
        <v>600</v>
      </c>
      <c r="D12" s="15">
        <v>630</v>
      </c>
      <c r="E12" s="15">
        <v>800</v>
      </c>
      <c r="F12" s="15">
        <v>670</v>
      </c>
      <c r="G12" s="15">
        <v>670</v>
      </c>
      <c r="H12" s="15">
        <v>700</v>
      </c>
      <c r="I12" s="15">
        <v>700</v>
      </c>
      <c r="J12" s="15">
        <v>700</v>
      </c>
      <c r="K12" s="15">
        <v>700</v>
      </c>
      <c r="L12" s="15">
        <v>700</v>
      </c>
      <c r="M12" s="15">
        <v>700</v>
      </c>
      <c r="N12" s="15">
        <v>1000</v>
      </c>
    </row>
    <row r="13" spans="1:14">
      <c r="A13" s="1"/>
      <c r="B13" s="16"/>
      <c r="C13" s="17"/>
      <c r="D13" s="17"/>
      <c r="E13" s="17"/>
      <c r="F13" s="17"/>
      <c r="G13" s="17"/>
      <c r="H13" s="17"/>
      <c r="I13" s="17"/>
      <c r="J13" s="22"/>
      <c r="K13" s="22"/>
      <c r="L13" s="22"/>
      <c r="M13" s="22"/>
      <c r="N13" s="22"/>
    </row>
    <row r="14" spans="1:14">
      <c r="A14" s="4" t="s">
        <v>22</v>
      </c>
      <c r="B14" s="16"/>
      <c r="C14" s="17">
        <f>C15+C16+C17+C18</f>
        <v>58300.723999999995</v>
      </c>
      <c r="D14" s="17">
        <f t="shared" ref="D14:N14" si="3">D15+D16+D17+D18</f>
        <v>58348</v>
      </c>
      <c r="E14" s="17">
        <f t="shared" si="3"/>
        <v>64822</v>
      </c>
      <c r="F14" s="17">
        <f t="shared" si="3"/>
        <v>57012.343999999997</v>
      </c>
      <c r="G14" s="17">
        <f t="shared" si="3"/>
        <v>57227.82</v>
      </c>
      <c r="H14" s="17">
        <f t="shared" si="3"/>
        <v>58348</v>
      </c>
      <c r="I14" s="17">
        <f t="shared" si="3"/>
        <v>59012.343999999997</v>
      </c>
      <c r="J14" s="17">
        <f t="shared" si="3"/>
        <v>58663.008000000002</v>
      </c>
      <c r="K14" s="17">
        <f t="shared" si="3"/>
        <v>57591.103999999992</v>
      </c>
      <c r="L14" s="17">
        <f t="shared" si="3"/>
        <v>59015.343999999997</v>
      </c>
      <c r="M14" s="17">
        <f t="shared" si="3"/>
        <v>61512.487999999998</v>
      </c>
      <c r="N14" s="17">
        <f t="shared" si="3"/>
        <v>75023.320000000007</v>
      </c>
    </row>
    <row r="15" spans="1:14">
      <c r="A15" s="1" t="s">
        <v>24</v>
      </c>
      <c r="B15" s="14"/>
      <c r="C15" s="15">
        <f>B3*5000</f>
        <v>20000</v>
      </c>
      <c r="D15" s="15">
        <f t="shared" ref="D15:N15" si="4">C3*5000</f>
        <v>20000</v>
      </c>
      <c r="E15" s="15">
        <f t="shared" si="4"/>
        <v>20000</v>
      </c>
      <c r="F15" s="15">
        <f t="shared" si="4"/>
        <v>20000</v>
      </c>
      <c r="G15" s="15">
        <f t="shared" si="4"/>
        <v>20000</v>
      </c>
      <c r="H15" s="15">
        <f t="shared" si="4"/>
        <v>20000</v>
      </c>
      <c r="I15" s="15">
        <f t="shared" si="4"/>
        <v>20000</v>
      </c>
      <c r="J15" s="15">
        <f t="shared" si="4"/>
        <v>20000</v>
      </c>
      <c r="K15" s="15">
        <f t="shared" si="4"/>
        <v>20000</v>
      </c>
      <c r="L15" s="15">
        <f t="shared" si="4"/>
        <v>20000</v>
      </c>
      <c r="M15" s="15">
        <f t="shared" si="4"/>
        <v>20000</v>
      </c>
      <c r="N15" s="15">
        <f t="shared" si="4"/>
        <v>20000</v>
      </c>
    </row>
    <row r="16" spans="1:14">
      <c r="A16" s="1" t="s">
        <v>28</v>
      </c>
      <c r="B16" s="14"/>
      <c r="C16" s="15">
        <f>(8000+C9/2*7%)*2*1.15</f>
        <v>27300.723999999995</v>
      </c>
      <c r="D16" s="15">
        <f t="shared" ref="D16:N16" si="5">(8000+D9/2*7%)*2*1.15</f>
        <v>29347.999999999996</v>
      </c>
      <c r="E16" s="15">
        <f t="shared" si="5"/>
        <v>34822</v>
      </c>
      <c r="F16" s="15">
        <f t="shared" si="5"/>
        <v>28012.344000000001</v>
      </c>
      <c r="G16" s="15">
        <f t="shared" si="5"/>
        <v>26227.82</v>
      </c>
      <c r="H16" s="15">
        <f t="shared" si="5"/>
        <v>29347.999999999996</v>
      </c>
      <c r="I16" s="15">
        <f t="shared" si="5"/>
        <v>28012.344000000001</v>
      </c>
      <c r="J16" s="15">
        <f t="shared" si="5"/>
        <v>27662.008000000002</v>
      </c>
      <c r="K16" s="15">
        <f t="shared" si="5"/>
        <v>26589.103999999996</v>
      </c>
      <c r="L16" s="15">
        <f t="shared" si="5"/>
        <v>28012.344000000001</v>
      </c>
      <c r="M16" s="15">
        <f t="shared" si="5"/>
        <v>30508.488000000001</v>
      </c>
      <c r="N16" s="15">
        <f t="shared" si="5"/>
        <v>44018.32</v>
      </c>
    </row>
    <row r="17" spans="1:15">
      <c r="A17" s="1" t="s">
        <v>23</v>
      </c>
      <c r="B17" s="14"/>
      <c r="C17" s="15">
        <v>5000</v>
      </c>
      <c r="D17" s="15">
        <v>3000</v>
      </c>
      <c r="E17" s="15">
        <v>4000</v>
      </c>
      <c r="F17" s="15">
        <v>3000</v>
      </c>
      <c r="G17" s="15">
        <v>5000</v>
      </c>
      <c r="H17" s="15">
        <v>3000</v>
      </c>
      <c r="I17" s="15">
        <v>5000</v>
      </c>
      <c r="J17" s="15">
        <v>5001</v>
      </c>
      <c r="K17" s="15">
        <v>5002</v>
      </c>
      <c r="L17" s="15">
        <v>5003</v>
      </c>
      <c r="M17" s="15">
        <v>5004</v>
      </c>
      <c r="N17" s="15">
        <v>5005</v>
      </c>
    </row>
    <row r="18" spans="1:15">
      <c r="A18" s="1" t="s">
        <v>29</v>
      </c>
      <c r="B18" s="14"/>
      <c r="C18" s="15">
        <f>1500*C3</f>
        <v>6000</v>
      </c>
      <c r="D18" s="15">
        <f t="shared" ref="D18:N18" si="6">1500*D3</f>
        <v>6000</v>
      </c>
      <c r="E18" s="15">
        <f t="shared" si="6"/>
        <v>6000</v>
      </c>
      <c r="F18" s="15">
        <f t="shared" si="6"/>
        <v>6000</v>
      </c>
      <c r="G18" s="15">
        <f t="shared" si="6"/>
        <v>6000</v>
      </c>
      <c r="H18" s="15">
        <f t="shared" si="6"/>
        <v>6000</v>
      </c>
      <c r="I18" s="15">
        <f t="shared" si="6"/>
        <v>6000</v>
      </c>
      <c r="J18" s="15">
        <f t="shared" si="6"/>
        <v>6000</v>
      </c>
      <c r="K18" s="15">
        <f t="shared" si="6"/>
        <v>6000</v>
      </c>
      <c r="L18" s="15">
        <f t="shared" si="6"/>
        <v>6000</v>
      </c>
      <c r="M18" s="15">
        <f t="shared" si="6"/>
        <v>6000</v>
      </c>
      <c r="N18" s="15">
        <f t="shared" si="6"/>
        <v>6000</v>
      </c>
    </row>
    <row r="19" spans="1:15">
      <c r="A19" s="1"/>
      <c r="B19" s="2"/>
      <c r="C19" s="3"/>
      <c r="D19" s="3"/>
      <c r="E19" s="3"/>
      <c r="F19" s="3"/>
      <c r="G19" s="3"/>
      <c r="H19" s="3"/>
      <c r="I19" s="3"/>
      <c r="J19" s="22"/>
      <c r="K19" s="22"/>
      <c r="L19" s="22"/>
      <c r="M19" s="22"/>
      <c r="N19" s="22"/>
    </row>
    <row r="20" spans="1:15">
      <c r="A20" s="4" t="s">
        <v>33</v>
      </c>
      <c r="B20" s="16"/>
      <c r="C20" s="17">
        <f>C22-C14</f>
        <v>16000.972000000002</v>
      </c>
      <c r="D20" s="17">
        <f t="shared" ref="D20:N20" si="7">D22-D14</f>
        <v>31412</v>
      </c>
      <c r="E20" s="17">
        <f t="shared" si="7"/>
        <v>69818</v>
      </c>
      <c r="F20" s="17">
        <f t="shared" si="7"/>
        <v>20841.672000000006</v>
      </c>
      <c r="G20" s="17">
        <f t="shared" si="7"/>
        <v>6172.6599999999962</v>
      </c>
      <c r="H20" s="17">
        <f t="shared" si="7"/>
        <v>29236</v>
      </c>
      <c r="I20" s="17">
        <f t="shared" si="7"/>
        <v>17886.407999999996</v>
      </c>
      <c r="J20" s="17">
        <f t="shared" si="7"/>
        <v>15433.055999999997</v>
      </c>
      <c r="K20" s="17">
        <f t="shared" si="7"/>
        <v>7921.7280000000028</v>
      </c>
      <c r="L20" s="17">
        <f t="shared" si="7"/>
        <v>17883.407999999996</v>
      </c>
      <c r="M20" s="17">
        <f t="shared" si="7"/>
        <v>35355.415999999997</v>
      </c>
      <c r="N20" s="17">
        <f t="shared" si="7"/>
        <v>129923.23999999999</v>
      </c>
    </row>
    <row r="21" spans="1:15">
      <c r="A21" s="1" t="s">
        <v>26</v>
      </c>
      <c r="B21" s="2"/>
      <c r="C21" s="20">
        <f>250%/(100%-18%)-100%</f>
        <v>2.0487804878048776</v>
      </c>
      <c r="D21" s="20">
        <f>250%/(100%-15%)-100%</f>
        <v>1.9411764705882355</v>
      </c>
      <c r="E21" s="20">
        <f>250%/(100%-15%)-100%</f>
        <v>1.9411764705882355</v>
      </c>
      <c r="F21" s="20">
        <f>250%/(100%-13%)-100%</f>
        <v>1.8735632183908044</v>
      </c>
      <c r="G21" s="20">
        <f>250%/(100%-13%)-100%</f>
        <v>1.8735632183908044</v>
      </c>
      <c r="H21" s="20">
        <f t="shared" ref="H21:N21" si="8">250%/(100%-11%)-100%</f>
        <v>1.8089887640449436</v>
      </c>
      <c r="I21" s="20">
        <f t="shared" si="8"/>
        <v>1.8089887640449436</v>
      </c>
      <c r="J21" s="20">
        <f t="shared" si="8"/>
        <v>1.8089887640449436</v>
      </c>
      <c r="K21" s="20">
        <f t="shared" si="8"/>
        <v>1.8089887640449436</v>
      </c>
      <c r="L21" s="20">
        <f t="shared" si="8"/>
        <v>1.8089887640449436</v>
      </c>
      <c r="M21" s="20">
        <f t="shared" si="8"/>
        <v>1.8089887640449436</v>
      </c>
      <c r="N21" s="20">
        <f t="shared" si="8"/>
        <v>1.8089887640449436</v>
      </c>
    </row>
    <row r="22" spans="1:15">
      <c r="A22" s="1" t="s">
        <v>27</v>
      </c>
      <c r="B22" s="14"/>
      <c r="C22" s="15">
        <f>C9-C9/(C21+100%)</f>
        <v>74301.695999999996</v>
      </c>
      <c r="D22" s="15">
        <f t="shared" ref="D22:N22" si="9">D9-D9/(D21+100%)</f>
        <v>89760</v>
      </c>
      <c r="E22" s="15">
        <f t="shared" si="9"/>
        <v>134640</v>
      </c>
      <c r="F22" s="15">
        <f t="shared" si="9"/>
        <v>77854.016000000003</v>
      </c>
      <c r="G22" s="15">
        <f t="shared" si="9"/>
        <v>63400.479999999996</v>
      </c>
      <c r="H22" s="15">
        <f t="shared" si="9"/>
        <v>87584</v>
      </c>
      <c r="I22" s="15">
        <f t="shared" si="9"/>
        <v>76898.751999999993</v>
      </c>
      <c r="J22" s="15">
        <f t="shared" si="9"/>
        <v>74096.063999999998</v>
      </c>
      <c r="K22" s="15">
        <f t="shared" si="9"/>
        <v>65512.831999999995</v>
      </c>
      <c r="L22" s="15">
        <f t="shared" si="9"/>
        <v>76898.751999999993</v>
      </c>
      <c r="M22" s="15">
        <f t="shared" si="9"/>
        <v>96867.903999999995</v>
      </c>
      <c r="N22" s="15">
        <f t="shared" si="9"/>
        <v>204946.56</v>
      </c>
    </row>
    <row r="23" spans="1:15">
      <c r="A23" s="1"/>
      <c r="B23" s="14"/>
      <c r="C23" s="15">
        <f>C9/C21</f>
        <v>53967.71428571429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</row>
    <row r="24" spans="1:15">
      <c r="A24" s="4" t="s">
        <v>30</v>
      </c>
      <c r="B24" s="14"/>
      <c r="C24" s="15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</row>
    <row r="25" spans="1:15">
      <c r="A25" s="1" t="s">
        <v>31</v>
      </c>
      <c r="B25" s="2"/>
      <c r="C25" s="15">
        <f>C20-B2+B5</f>
        <v>-118999.02799999999</v>
      </c>
      <c r="D25" s="15">
        <f>C25+D20</f>
        <v>-87587.027999999991</v>
      </c>
      <c r="E25" s="15">
        <f t="shared" ref="E25:N25" si="10">D25+E20</f>
        <v>-17769.027999999991</v>
      </c>
      <c r="F25" s="24">
        <f t="shared" si="10"/>
        <v>3072.6440000000148</v>
      </c>
      <c r="G25" s="15">
        <f t="shared" si="10"/>
        <v>9245.304000000011</v>
      </c>
      <c r="H25" s="15">
        <f t="shared" si="10"/>
        <v>38481.304000000011</v>
      </c>
      <c r="I25" s="15">
        <f t="shared" si="10"/>
        <v>56367.712000000007</v>
      </c>
      <c r="J25" s="15">
        <f t="shared" si="10"/>
        <v>71800.768000000011</v>
      </c>
      <c r="K25" s="15">
        <f t="shared" si="10"/>
        <v>79722.496000000014</v>
      </c>
      <c r="L25" s="15">
        <f t="shared" si="10"/>
        <v>97605.90400000001</v>
      </c>
      <c r="M25" s="15">
        <f t="shared" si="10"/>
        <v>132961.32</v>
      </c>
      <c r="N25" s="15">
        <f t="shared" si="10"/>
        <v>262884.56</v>
      </c>
    </row>
    <row r="26" spans="1:15">
      <c r="A26" s="1"/>
      <c r="B26" s="2"/>
      <c r="C26" s="3"/>
      <c r="D26" s="3"/>
      <c r="E26" s="3"/>
      <c r="F26" s="3"/>
      <c r="G26" s="3"/>
      <c r="H26" s="3"/>
      <c r="I26" s="3"/>
      <c r="J26" s="22"/>
      <c r="K26" s="22"/>
      <c r="L26" s="22"/>
      <c r="M26" s="22"/>
      <c r="N26" s="22"/>
    </row>
    <row r="27" spans="1:15">
      <c r="A27" s="1" t="s">
        <v>47</v>
      </c>
      <c r="B27" s="2"/>
      <c r="C27" s="15">
        <f>C9-C22</f>
        <v>36266.303999999989</v>
      </c>
      <c r="D27" s="15">
        <f t="shared" ref="D27:N27" si="11">D9-D22</f>
        <v>46240</v>
      </c>
      <c r="E27" s="15">
        <f t="shared" si="11"/>
        <v>69360</v>
      </c>
      <c r="F27" s="15">
        <f t="shared" si="11"/>
        <v>41553.983999999997</v>
      </c>
      <c r="G27" s="15">
        <f t="shared" si="11"/>
        <v>33839.520000000004</v>
      </c>
      <c r="H27" s="15">
        <f t="shared" si="11"/>
        <v>48416</v>
      </c>
      <c r="I27" s="15">
        <f t="shared" si="11"/>
        <v>42509.248000000007</v>
      </c>
      <c r="J27" s="15">
        <f t="shared" si="11"/>
        <v>40959.936000000002</v>
      </c>
      <c r="K27" s="15">
        <f t="shared" si="11"/>
        <v>36215.168000000005</v>
      </c>
      <c r="L27" s="15">
        <f t="shared" si="11"/>
        <v>42509.248000000007</v>
      </c>
      <c r="M27" s="15">
        <f t="shared" si="11"/>
        <v>53548.096000000005</v>
      </c>
      <c r="N27" s="15">
        <f t="shared" si="11"/>
        <v>113293.44</v>
      </c>
    </row>
    <row r="28" spans="1:15">
      <c r="A28" s="1" t="s">
        <v>46</v>
      </c>
      <c r="B28" s="14">
        <f>B5</f>
        <v>200000</v>
      </c>
      <c r="C28" s="14">
        <f>B28+B28*0.1</f>
        <v>220000</v>
      </c>
      <c r="D28" s="14">
        <f>C28+B28*0.2</f>
        <v>260000</v>
      </c>
      <c r="E28" s="14">
        <f>B28+B28*0.1</f>
        <v>220000</v>
      </c>
      <c r="F28" s="14">
        <f>B28</f>
        <v>200000</v>
      </c>
      <c r="G28" s="14">
        <f>F28+B28*0.1</f>
        <v>220000</v>
      </c>
      <c r="H28" s="14">
        <f>B28</f>
        <v>200000</v>
      </c>
      <c r="I28" s="14">
        <f>H28+B28*0.2</f>
        <v>240000</v>
      </c>
      <c r="J28" s="14">
        <f>I28*0.9</f>
        <v>216000</v>
      </c>
      <c r="K28" s="14">
        <f>J28+B28*0.05</f>
        <v>226000</v>
      </c>
      <c r="L28" s="14">
        <f>B28+B28*0.1</f>
        <v>220000</v>
      </c>
      <c r="M28" s="14">
        <f>L28+B28*0.4</f>
        <v>300000</v>
      </c>
      <c r="N28" s="14">
        <f>M28*0.8</f>
        <v>240000</v>
      </c>
    </row>
    <row r="29" spans="1:15">
      <c r="A29" s="1" t="s">
        <v>48</v>
      </c>
      <c r="B29" s="2"/>
      <c r="C29" s="24">
        <f t="shared" ref="C29:N29" si="12">C28-B28+C27</f>
        <v>56266.303999999989</v>
      </c>
      <c r="D29" s="24">
        <f t="shared" si="12"/>
        <v>86240</v>
      </c>
      <c r="E29" s="15">
        <f t="shared" si="12"/>
        <v>29360</v>
      </c>
      <c r="F29" s="15">
        <f t="shared" si="12"/>
        <v>21553.983999999997</v>
      </c>
      <c r="G29" s="24">
        <f t="shared" si="12"/>
        <v>53839.520000000004</v>
      </c>
      <c r="H29" s="15">
        <f t="shared" si="12"/>
        <v>28416</v>
      </c>
      <c r="I29" s="24">
        <f t="shared" si="12"/>
        <v>82509.248000000007</v>
      </c>
      <c r="J29" s="15">
        <f t="shared" si="12"/>
        <v>16959.936000000002</v>
      </c>
      <c r="K29" s="15">
        <f t="shared" si="12"/>
        <v>46215.168000000005</v>
      </c>
      <c r="L29" s="15">
        <f t="shared" si="12"/>
        <v>36509.248000000007</v>
      </c>
      <c r="M29" s="24">
        <f t="shared" si="12"/>
        <v>133548.09600000002</v>
      </c>
      <c r="N29" s="24">
        <f t="shared" si="12"/>
        <v>53293.440000000002</v>
      </c>
      <c r="O29" s="25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пессимистичный</vt:lpstr>
      <vt:lpstr>реалистичный</vt:lpstr>
      <vt:lpstr>оптимистичный</vt:lpstr>
      <vt:lpstr>Расчет наценки</vt:lpstr>
      <vt:lpstr>сезон</vt:lpstr>
    </vt:vector>
  </TitlesOfParts>
  <Company>JENAVI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TVelikanova</dc:creator>
  <cp:lastModifiedBy>км</cp:lastModifiedBy>
  <cp:lastPrinted>2007-01-11T11:37:36Z</cp:lastPrinted>
  <dcterms:created xsi:type="dcterms:W3CDTF">2006-12-26T15:06:54Z</dcterms:created>
  <dcterms:modified xsi:type="dcterms:W3CDTF">2015-04-02T16:03:00Z</dcterms:modified>
</cp:coreProperties>
</file>